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0"/>
  </bookViews>
  <sheets>
    <sheet name="Лен_83" sheetId="1" r:id="rId1"/>
  </sheets>
  <externalReferences>
    <externalReference r:id="rId4"/>
  </externalReferences>
  <definedNames>
    <definedName name="_xlnm.Print_Area" localSheetId="0">'Лен_83'!$A$1:$H$256</definedName>
    <definedName name="Excel_BuiltIn_Print_Area_4">#REF!</definedName>
    <definedName name="Excel_BuiltIn_Print_Area_5">#REF!</definedName>
    <definedName name="Excel_BuiltIn_Print_Area_3">#REF!</definedName>
    <definedName name="Excel_BuiltIn_Print_Area_6">#REF!</definedName>
    <definedName name="Excel_BuiltIn_Print_Area_10">#REF!</definedName>
    <definedName name="Excel_BuiltIn_Print_Area_9">#REF!</definedName>
    <definedName name="Excel_BuiltIn_Print_Area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<sst xmlns="http://schemas.openxmlformats.org/spreadsheetml/2006/main" count="389" uniqueCount="244">
  <si>
    <t xml:space="preserve">ООО "Коммунальная компания "Наш дом" </t>
  </si>
  <si>
    <t>Жилой дом по ул. Ленинградская, 83.</t>
  </si>
  <si>
    <t>Отчет за 2012год.</t>
  </si>
  <si>
    <t>1. Сведения о доме:</t>
  </si>
  <si>
    <t>кол-во жилых метров</t>
  </si>
  <si>
    <t>кол-во нежилых метров</t>
  </si>
  <si>
    <t>Итого общая площадь</t>
  </si>
  <si>
    <t>2. Ставка коммунальных платежей действовавшая в 2012г.</t>
  </si>
  <si>
    <t>Перечень коммунальных услуг</t>
  </si>
  <si>
    <t>Жилые помещения       ставка с 01.01.12</t>
  </si>
  <si>
    <t>Среднего-</t>
  </si>
  <si>
    <t>ставка с 01.03.12</t>
  </si>
  <si>
    <t>ставка с 01.07.12</t>
  </si>
  <si>
    <t>ставка с 01.09.12</t>
  </si>
  <si>
    <t>ставка с 01.10.12</t>
  </si>
  <si>
    <t>довая                  ставка</t>
  </si>
  <si>
    <t xml:space="preserve">Техническое обслуживание </t>
  </si>
  <si>
    <t xml:space="preserve">Вода+канализация </t>
  </si>
  <si>
    <t>Вывоз бытового мусора</t>
  </si>
  <si>
    <t>Обслуживание лифтов</t>
  </si>
  <si>
    <t>Теплоснабжение на отопл. и ГВС (без счетчиков) за 9 мес</t>
  </si>
  <si>
    <t>Текущий ремонт</t>
  </si>
  <si>
    <t>Эксплуатация ВДГО</t>
  </si>
  <si>
    <t>Вывоз крупногабаритного мусора и снега</t>
  </si>
  <si>
    <t>Электроэнергия в МОП</t>
  </si>
  <si>
    <t>Поверка счетчиков</t>
  </si>
  <si>
    <t>Итого:</t>
  </si>
  <si>
    <t>Стаквка теплоснабжения на отопл. и ГВС  с 01.10.12 по 31.12.12</t>
  </si>
  <si>
    <t>Теплоснабжение на отопл. и ГВС (со счетчиками) за 9 мес</t>
  </si>
  <si>
    <t>3. Доходы</t>
  </si>
  <si>
    <t>Начислено коммунальных платежей к уплате собственникам дома в 2012г.</t>
  </si>
  <si>
    <t>Оплачено собственниками дома в 2012г.</t>
  </si>
  <si>
    <t>4. Должники</t>
  </si>
  <si>
    <t>Долги собственников на начало 2012г.</t>
  </si>
  <si>
    <t>Долги собственников на конец 2012г.:</t>
  </si>
  <si>
    <t>в том числе крупные за 2012г.:</t>
  </si>
  <si>
    <t>ФГУП ""Почта России"</t>
  </si>
  <si>
    <t xml:space="preserve">кв.64 </t>
  </si>
  <si>
    <t>кв.77</t>
  </si>
  <si>
    <t xml:space="preserve">кв.15 </t>
  </si>
  <si>
    <t xml:space="preserve">кв.109 </t>
  </si>
  <si>
    <t xml:space="preserve">кв.56 </t>
  </si>
  <si>
    <t>5. Расходы:</t>
  </si>
  <si>
    <r>
      <t xml:space="preserve"> </t>
    </r>
    <r>
      <rPr>
        <b/>
        <u val="single"/>
        <sz val="12"/>
        <color indexed="8"/>
        <rFont val="Calibri"/>
        <family val="2"/>
      </rPr>
      <t>Теплоснабжение</t>
    </r>
  </si>
  <si>
    <t>Гкал</t>
  </si>
  <si>
    <t>на 1 кв.м. в мес.</t>
  </si>
  <si>
    <t>Месяц</t>
  </si>
  <si>
    <t>Счет</t>
  </si>
  <si>
    <t>Сумма</t>
  </si>
  <si>
    <t>Январь</t>
  </si>
  <si>
    <t>№598/10429 от 31.01.12</t>
  </si>
  <si>
    <t xml:space="preserve"> </t>
  </si>
  <si>
    <t>Февраль</t>
  </si>
  <si>
    <t>№2772/10429 от 29.02.12</t>
  </si>
  <si>
    <t>Март</t>
  </si>
  <si>
    <t>№4947/10429 от 31.03.12</t>
  </si>
  <si>
    <t>Апрель</t>
  </si>
  <si>
    <t>№7049/10429 от 30.04.12</t>
  </si>
  <si>
    <t>Май</t>
  </si>
  <si>
    <t>№8877/10429 от 31.05.12</t>
  </si>
  <si>
    <t>Июнь</t>
  </si>
  <si>
    <t>Июль</t>
  </si>
  <si>
    <t>№10168/10429 от 31.07.12</t>
  </si>
  <si>
    <t>Август</t>
  </si>
  <si>
    <t>№10805/10429 от 31.08.12</t>
  </si>
  <si>
    <t>Сентябрь</t>
  </si>
  <si>
    <t>№11450/10429 от 30.09.12</t>
  </si>
  <si>
    <t>итого за 9 месяцев</t>
  </si>
  <si>
    <t>итого за 9 месяцев с 1% (*)</t>
  </si>
  <si>
    <t>Справочно:</t>
  </si>
  <si>
    <t>Октябрь</t>
  </si>
  <si>
    <t>№12302/10429 от 31.10.12</t>
  </si>
  <si>
    <t>Ноябрь</t>
  </si>
  <si>
    <t>№14300/10429 от 30.11.12</t>
  </si>
  <si>
    <t>Декабрь</t>
  </si>
  <si>
    <t>№16714/10429 от 31.12.12</t>
  </si>
  <si>
    <t>итого за год</t>
  </si>
  <si>
    <t>итого за год с 1% (*)</t>
  </si>
  <si>
    <t>Вода+канализация</t>
  </si>
  <si>
    <t>куб.м.</t>
  </si>
  <si>
    <t>№1344 от 30.01.12г.</t>
  </si>
  <si>
    <t>№2619 от 29.02.12г.</t>
  </si>
  <si>
    <t>№4641 от 29.03.12г.</t>
  </si>
  <si>
    <t>№6492 от 27.04.12г.</t>
  </si>
  <si>
    <t>№8429 от 30.05.12</t>
  </si>
  <si>
    <t>№10121 от 30.06.12</t>
  </si>
  <si>
    <t>№6572 от 31.07.12</t>
  </si>
  <si>
    <t>№13642 от 31.08.12</t>
  </si>
  <si>
    <t>№21127 от 30.09.12</t>
  </si>
  <si>
    <t xml:space="preserve">Перерасчет Райгородскому  </t>
  </si>
  <si>
    <t>№27816 от 31.10.12</t>
  </si>
  <si>
    <t>№35509 от 30.11.12</t>
  </si>
  <si>
    <t>№43226 от 31.12.12</t>
  </si>
  <si>
    <t xml:space="preserve">Эл./э в МОП </t>
  </si>
  <si>
    <t>кВт в мес.</t>
  </si>
  <si>
    <t>№757551 от 31.01.12</t>
  </si>
  <si>
    <t>№765623 от 29.02.12</t>
  </si>
  <si>
    <t>№773486 от 31.03.12</t>
  </si>
  <si>
    <t>№800710 от 30.04.12</t>
  </si>
  <si>
    <t>№809925 от 31.05.12</t>
  </si>
  <si>
    <t>№829260 от 30.06.12</t>
  </si>
  <si>
    <t>№839806 от 31.07.12</t>
  </si>
  <si>
    <t>№846544 от 31.08.12</t>
  </si>
  <si>
    <t>№855624 от 30.09.12</t>
  </si>
  <si>
    <t>№862685 от 31.10.12</t>
  </si>
  <si>
    <t>№875639 от 30.11.12</t>
  </si>
  <si>
    <t>№887462 от 31.12.12</t>
  </si>
  <si>
    <t>итого</t>
  </si>
  <si>
    <t>итого с 1% (*)</t>
  </si>
  <si>
    <t>Вывоз ТБО</t>
  </si>
  <si>
    <t>№1636 от 31.01.12г.</t>
  </si>
  <si>
    <t>№4437 от 29.02.12г.</t>
  </si>
  <si>
    <t>№7361 от 31.03.12г.</t>
  </si>
  <si>
    <t>№13175 от 30.04.12г.</t>
  </si>
  <si>
    <t>№16126 от 31.05.12</t>
  </si>
  <si>
    <t>№19200 от 30.06.12</t>
  </si>
  <si>
    <t>№30720 от 31.07.12</t>
  </si>
  <si>
    <t>№33714 от 31.08.12</t>
  </si>
  <si>
    <t>№36776 от 30.09.12</t>
  </si>
  <si>
    <t>№35271 от 31.10.12</t>
  </si>
  <si>
    <t>№38249 от 30.11.12</t>
  </si>
  <si>
    <t>№41216 от 31.12.12</t>
  </si>
  <si>
    <t>№15 от 19.01.12 (вывоз снега)</t>
  </si>
  <si>
    <t>№21 от 19.01.12 (вывоз снега)</t>
  </si>
  <si>
    <t>№93 от 19.03.12( вывоз снега)</t>
  </si>
  <si>
    <t>№193 от 13.06.12(вывоз спил. дерева)</t>
  </si>
  <si>
    <t>№403 от 21.09.12 (вывоз крупногабаритн. мусора)</t>
  </si>
  <si>
    <t>Обслуживание лифта</t>
  </si>
  <si>
    <t>№11/049 от 23.01.12 (освид. Лифтов)</t>
  </si>
  <si>
    <t>№44 от 31.01.12г.</t>
  </si>
  <si>
    <t>№567 от 29.02.12г.</t>
  </si>
  <si>
    <t>№1591 от 31.03.12г.</t>
  </si>
  <si>
    <t>№1619 от 30.04.12г.</t>
  </si>
  <si>
    <t>№2573 от 31.05.12г.</t>
  </si>
  <si>
    <t>№3177 от 30.06.12</t>
  </si>
  <si>
    <t>№33363 от 31.07.12</t>
  </si>
  <si>
    <t>№4236 от 31.08.12</t>
  </si>
  <si>
    <t>№4749 от 30.09.12</t>
  </si>
  <si>
    <t>№4816 от 31.10.12</t>
  </si>
  <si>
    <t>№5787 от 30.11.12</t>
  </si>
  <si>
    <t>№5879 от 31.12.12</t>
  </si>
  <si>
    <t>Технич. эксплуат. ВДГО</t>
  </si>
  <si>
    <t>№41 от 31.01.12</t>
  </si>
  <si>
    <t>№195 от 29.02.12</t>
  </si>
  <si>
    <t>№346 от 31.03.12</t>
  </si>
  <si>
    <t>№510 от 30.04.12</t>
  </si>
  <si>
    <t>№663 от 31.05.12</t>
  </si>
  <si>
    <t>№815 от 30.06.12</t>
  </si>
  <si>
    <t>№972 от 31.07.12</t>
  </si>
  <si>
    <t>№1126 от 31.08.12</t>
  </si>
  <si>
    <t>№1289 от 30.09.12</t>
  </si>
  <si>
    <t>№ 1446 от 31.10.12</t>
  </si>
  <si>
    <t>№ 1606 от 30.11.12</t>
  </si>
  <si>
    <t>№1771 от 31.12.12</t>
  </si>
  <si>
    <t>итого с 1%</t>
  </si>
  <si>
    <t>Поверка  счетчиков</t>
  </si>
  <si>
    <t>счет-фактура</t>
  </si>
  <si>
    <t>сумма</t>
  </si>
  <si>
    <t xml:space="preserve">Текущий ремонт </t>
  </si>
  <si>
    <t xml:space="preserve">Ремонт системы отопления </t>
  </si>
  <si>
    <t xml:space="preserve"> Ав. отчет №143 от 16.04.12</t>
  </si>
  <si>
    <t>Замена теплообменника</t>
  </si>
  <si>
    <t>Счет №0202 от 25.04.12</t>
  </si>
  <si>
    <t>Ремонт ГВС</t>
  </si>
  <si>
    <t>Ав. отчет №226 от 08.06.12, №240 от 25.06.12, №241 от 25.06.12,№246 от 28.06.12, №296 от07.08.12</t>
  </si>
  <si>
    <t>Ремонт теплообменника</t>
  </si>
  <si>
    <t>Ав. отчет №234 от 22.06.12,№261 от 11.07.12</t>
  </si>
  <si>
    <t>Благоустройство газона</t>
  </si>
  <si>
    <t>. Ав. отчет№243 от 26.06.12</t>
  </si>
  <si>
    <t>Приобретение терморегулятора ГВС</t>
  </si>
  <si>
    <t>Накл..№1611 от 14.09.12, Ав. отчет №394 от 20.09.12, №11167 от 10.10.12, №11168 от 10.10.12, №11169 от 10.10.12, №11276 от 11.10.12</t>
  </si>
  <si>
    <t>Выборочный ремонт кровли</t>
  </si>
  <si>
    <t>Акт №5 от22.08.12</t>
  </si>
  <si>
    <t>Засыпка чернозема</t>
  </si>
  <si>
    <t>№1 от 05.09.12</t>
  </si>
  <si>
    <t>Замена общедомового счетчика воды</t>
  </si>
  <si>
    <t>№15014 от 20.12.12</t>
  </si>
  <si>
    <t>Приемка в эксплуатацию водомерных узлов</t>
  </si>
  <si>
    <t>№031-3284 от 25.12.12</t>
  </si>
  <si>
    <t>Узел регулирования ГВС</t>
  </si>
  <si>
    <t>Ав. Отчет №413 от 09.10.12</t>
  </si>
  <si>
    <t>Разгрузочно-погрузочные работы по теплообменнику</t>
  </si>
  <si>
    <t>№13 от 17.05.12</t>
  </si>
  <si>
    <t>Установка домофона на третий вход</t>
  </si>
  <si>
    <t>№55 от 30.11.12</t>
  </si>
  <si>
    <t>Устройство ливневой канализации</t>
  </si>
  <si>
    <t>Ав. Отчет №460 от 30.10.12</t>
  </si>
  <si>
    <t>Замена стояка ХВС кв. 63,65</t>
  </si>
  <si>
    <t>Ав. Отчет №106 от 22.03.12, №107 от 22.03.12</t>
  </si>
  <si>
    <t>Замена стояка ГВС кв61,69</t>
  </si>
  <si>
    <t>Ав. Отчет №82 от 05.03.12</t>
  </si>
  <si>
    <t>Замена канализационного стояка в кв.7</t>
  </si>
  <si>
    <t>Ав. Отчет №66 от 28.02.12</t>
  </si>
  <si>
    <t>Замена кранов ХГВС в подвале</t>
  </si>
  <si>
    <t>Ав. Отчет №524 от 14.12.12, №525 от 17.12.12,№358 от 24.08.12,№211 от 31.05.12</t>
  </si>
  <si>
    <t>Замена стояка канализации кв.36,39</t>
  </si>
  <si>
    <t>Ав. Отчет №540 от 26.12.12</t>
  </si>
  <si>
    <t>Замена стояков ХГВС и циркуляции кв.97,92</t>
  </si>
  <si>
    <t>Ав. Отчет №513 от 08.12.12, №514 от 08.12.12</t>
  </si>
  <si>
    <t>Установка обратного клапана ГВС</t>
  </si>
  <si>
    <t>Ав. Отчет №541 от 26.12.12</t>
  </si>
  <si>
    <t>Премия для уборщицы</t>
  </si>
  <si>
    <t>Письмо от жильцов</t>
  </si>
  <si>
    <t xml:space="preserve">итого </t>
  </si>
  <si>
    <t>Итого с 1% (*)</t>
  </si>
  <si>
    <t>6. Перерасчет за 2011год. (первый вариант с полным теплом)</t>
  </si>
  <si>
    <t>Статьи затрат</t>
  </si>
  <si>
    <t>Стоимость фактических расходов в 2011г.</t>
  </si>
  <si>
    <t>Общая площадь помещений для распределения затрат</t>
  </si>
  <si>
    <t>Фактические затраты на 1 кв.м</t>
  </si>
  <si>
    <t>Ставка, выставленная в квитанциях в 2011 г.</t>
  </si>
  <si>
    <t>пересчет с 1 кв. м. в мес.</t>
  </si>
  <si>
    <t>вода</t>
  </si>
  <si>
    <t>Теплоснабжение по нашим расчетам с правильным расчетом</t>
  </si>
  <si>
    <t>Отопление и ГВС для жителей не имеющих счетчики</t>
  </si>
  <si>
    <t>Отопление для жителей имеющих счетчики</t>
  </si>
  <si>
    <t>Эл/э в  МОП</t>
  </si>
  <si>
    <t>к доначислению с 1 метра за год (без счетчиков воды)</t>
  </si>
  <si>
    <t>к возврату с 1 метра за год (имеющим счетчики воды)</t>
  </si>
  <si>
    <t>(*) Для расчета ставки вода+канализация взяты кв.метры помещений без счетчиков ХВС и ГВС</t>
  </si>
  <si>
    <t>и без кв.метров помещений, по которым уже произведены перерасчеты.</t>
  </si>
  <si>
    <t>6. Перерасчет за 2012год. (без счетчиков воды)</t>
  </si>
  <si>
    <t>Стоимость фактических расходов в 2012г.</t>
  </si>
  <si>
    <t>Ставка, выставленная в квитанциях в 2012 г.</t>
  </si>
  <si>
    <t>Кол-во месяцев</t>
  </si>
  <si>
    <t>Годовая ставка перера-счета</t>
  </si>
  <si>
    <t>Отопление и ГВС для жителей не имеющих счетчики за 9 месяцев</t>
  </si>
  <si>
    <t>Отопление за 3 месяца</t>
  </si>
  <si>
    <t>к возврату с 1 метра за год (без счетчиков воды)</t>
  </si>
  <si>
    <t xml:space="preserve">Расчет ставки отопления и горячего водоснабжения для жилых помещений </t>
  </si>
  <si>
    <t>Ставка теплоснабжения с учетом квартир со счетчиками</t>
  </si>
  <si>
    <t>Общие метры квартир</t>
  </si>
  <si>
    <t>Метры квартир со счетчиками воды</t>
  </si>
  <si>
    <t>Метры квартир по которым был сделан перерасчет (среднегодовые)</t>
  </si>
  <si>
    <t>Выставленная сумма по теплоснабжению</t>
  </si>
  <si>
    <t>Доля отопления в теплоснабжении</t>
  </si>
  <si>
    <t>Сумма оплаченного ГВС жителями</t>
  </si>
  <si>
    <t>Сумма нагрева ГВС оплаченного жителями</t>
  </si>
  <si>
    <t>Итого фактическая стоимость теплоснабжения для жителей без счетчиков ГВС:</t>
  </si>
  <si>
    <t>Итого фактическая стоимость теплоснабжения для жителей со счетчиками ГВС:</t>
  </si>
  <si>
    <t>6686,5-724,5-184,7*Х+(724,5+184,7)*0,6Х=1670689р.-12324р.</t>
  </si>
  <si>
    <t>6. Перерасчет за 2012год. (со счетчиками воды)</t>
  </si>
  <si>
    <t>Отопление  для жителей  имеющих счетчики за 9 месяцев</t>
  </si>
  <si>
    <t>к возврату с 1 метра за год (со счетчиками воды)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</si>
</sst>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"/>
    <numFmt numFmtId="166" formatCode="#,##0&quot;р.&quot;"/>
    <numFmt numFmtId="167" formatCode="@"/>
    <numFmt numFmtId="168" formatCode="#,##0.00"/>
    <numFmt numFmtId="169" formatCode="#,##0"/>
    <numFmt numFmtId="170" formatCode="#,##0.00&quot;р.&quot;"/>
    <numFmt numFmtId="171" formatCode="0"/>
    <numFmt numFmtId="172" formatCode="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61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5" xfId="0" applyFont="1" applyBorder="1" applyAlignment="1">
      <alignment/>
    </xf>
    <xf numFmtId="164" fontId="21" fillId="0" borderId="0" xfId="0" applyFont="1" applyAlignment="1">
      <alignment/>
    </xf>
    <xf numFmtId="164" fontId="0" fillId="0" borderId="16" xfId="0" applyFont="1" applyBorder="1" applyAlignment="1">
      <alignment horizontal="center" vertical="center" wrapText="1"/>
    </xf>
    <xf numFmtId="164" fontId="0" fillId="0" borderId="17" xfId="0" applyFont="1" applyBorder="1" applyAlignment="1">
      <alignment horizontal="center" vertical="center" wrapText="1"/>
    </xf>
    <xf numFmtId="164" fontId="0" fillId="0" borderId="18" xfId="0" applyFont="1" applyBorder="1" applyAlignment="1">
      <alignment horizontal="center" vertical="center" wrapText="1"/>
    </xf>
    <xf numFmtId="164" fontId="0" fillId="0" borderId="17" xfId="0" applyFont="1" applyBorder="1" applyAlignment="1">
      <alignment/>
    </xf>
    <xf numFmtId="164" fontId="0" fillId="0" borderId="19" xfId="0" applyFont="1" applyBorder="1" applyAlignment="1">
      <alignment horizontal="center" wrapText="1"/>
    </xf>
    <xf numFmtId="164" fontId="0" fillId="0" borderId="19" xfId="0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center" wrapText="1"/>
    </xf>
    <xf numFmtId="164" fontId="0" fillId="0" borderId="22" xfId="0" applyFont="1" applyBorder="1" applyAlignment="1">
      <alignment horizontal="left" vertical="center" wrapText="1"/>
    </xf>
    <xf numFmtId="165" fontId="0" fillId="0" borderId="23" xfId="0" applyNumberFormat="1" applyBorder="1" applyAlignment="1">
      <alignment horizontal="center" vertical="center" wrapText="1"/>
    </xf>
    <xf numFmtId="165" fontId="0" fillId="0" borderId="23" xfId="0" applyNumberFormat="1" applyFont="1" applyBorder="1" applyAlignment="1">
      <alignment horizontal="center"/>
    </xf>
    <xf numFmtId="164" fontId="0" fillId="0" borderId="24" xfId="0" applyFont="1" applyBorder="1" applyAlignment="1">
      <alignment/>
    </xf>
    <xf numFmtId="165" fontId="0" fillId="0" borderId="19" xfId="0" applyNumberForma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0" fillId="0" borderId="24" xfId="0" applyFont="1" applyBorder="1" applyAlignment="1">
      <alignment wrapText="1"/>
    </xf>
    <xf numFmtId="164" fontId="0" fillId="0" borderId="24" xfId="0" applyFont="1" applyFill="1" applyBorder="1" applyAlignment="1">
      <alignment/>
    </xf>
    <xf numFmtId="164" fontId="0" fillId="0" borderId="25" xfId="0" applyFont="1" applyFill="1" applyBorder="1" applyAlignment="1">
      <alignment wrapText="1"/>
    </xf>
    <xf numFmtId="165" fontId="0" fillId="0" borderId="17" xfId="0" applyNumberForma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164" fontId="0" fillId="0" borderId="23" xfId="0" applyFont="1" applyFill="1" applyBorder="1" applyAlignment="1">
      <alignment wrapText="1"/>
    </xf>
    <xf numFmtId="164" fontId="0" fillId="0" borderId="26" xfId="0" applyFont="1" applyFill="1" applyBorder="1" applyAlignment="1">
      <alignment/>
    </xf>
    <xf numFmtId="165" fontId="0" fillId="0" borderId="21" xfId="0" applyNumberFormat="1" applyFont="1" applyBorder="1" applyAlignment="1">
      <alignment horizontal="center"/>
    </xf>
    <xf numFmtId="164" fontId="9" fillId="0" borderId="27" xfId="0" applyFont="1" applyFill="1" applyBorder="1" applyAlignment="1">
      <alignment/>
    </xf>
    <xf numFmtId="165" fontId="9" fillId="0" borderId="23" xfId="0" applyNumberFormat="1" applyFont="1" applyBorder="1" applyAlignment="1">
      <alignment horizontal="center"/>
    </xf>
    <xf numFmtId="164" fontId="9" fillId="0" borderId="0" xfId="0" applyFont="1" applyFill="1" applyBorder="1" applyAlignment="1">
      <alignment/>
    </xf>
    <xf numFmtId="165" fontId="9" fillId="0" borderId="0" xfId="0" applyNumberFormat="1" applyFont="1" applyBorder="1" applyAlignment="1">
      <alignment horizontal="center"/>
    </xf>
    <xf numFmtId="164" fontId="0" fillId="0" borderId="28" xfId="0" applyFont="1" applyBorder="1" applyAlignment="1">
      <alignment wrapText="1"/>
    </xf>
    <xf numFmtId="164" fontId="0" fillId="0" borderId="23" xfId="0" applyFont="1" applyBorder="1" applyAlignment="1">
      <alignment wrapText="1"/>
    </xf>
    <xf numFmtId="166" fontId="9" fillId="0" borderId="23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23" xfId="0" applyNumberFormat="1" applyBorder="1" applyAlignment="1">
      <alignment/>
    </xf>
    <xf numFmtId="164" fontId="9" fillId="0" borderId="23" xfId="0" applyFont="1" applyBorder="1" applyAlignment="1">
      <alignment/>
    </xf>
    <xf numFmtId="164" fontId="0" fillId="24" borderId="23" xfId="0" applyFont="1" applyFill="1" applyBorder="1" applyAlignment="1">
      <alignment/>
    </xf>
    <xf numFmtId="166" fontId="0" fillId="24" borderId="23" xfId="0" applyNumberFormat="1" applyFont="1" applyFill="1" applyBorder="1" applyAlignment="1">
      <alignment/>
    </xf>
    <xf numFmtId="164" fontId="0" fillId="24" borderId="0" xfId="0" applyFont="1" applyFill="1" applyAlignment="1">
      <alignment/>
    </xf>
    <xf numFmtId="164" fontId="0" fillId="0" borderId="23" xfId="0" applyFont="1" applyBorder="1" applyAlignment="1">
      <alignment/>
    </xf>
    <xf numFmtId="164" fontId="22" fillId="0" borderId="23" xfId="0" applyFont="1" applyBorder="1" applyAlignment="1">
      <alignment/>
    </xf>
    <xf numFmtId="164" fontId="0" fillId="0" borderId="23" xfId="0" applyFont="1" applyBorder="1" applyAlignment="1">
      <alignment horizontal="center" wrapText="1"/>
    </xf>
    <xf numFmtId="164" fontId="24" fillId="0" borderId="23" xfId="0" applyFont="1" applyFill="1" applyBorder="1" applyAlignment="1">
      <alignment horizontal="center" wrapText="1"/>
    </xf>
    <xf numFmtId="167" fontId="0" fillId="0" borderId="0" xfId="0" applyNumberFormat="1" applyBorder="1" applyAlignment="1">
      <alignment horizontal="center" wrapText="1"/>
    </xf>
    <xf numFmtId="164" fontId="24" fillId="0" borderId="23" xfId="0" applyFont="1" applyBorder="1" applyAlignment="1">
      <alignment/>
    </xf>
    <xf numFmtId="167" fontId="0" fillId="0" borderId="0" xfId="0" applyNumberFormat="1" applyBorder="1" applyAlignment="1">
      <alignment wrapText="1"/>
    </xf>
    <xf numFmtId="168" fontId="0" fillId="0" borderId="23" xfId="0" applyNumberFormat="1" applyFont="1" applyBorder="1" applyAlignment="1">
      <alignment wrapText="1"/>
    </xf>
    <xf numFmtId="164" fontId="0" fillId="0" borderId="21" xfId="0" applyBorder="1" applyAlignment="1">
      <alignment horizontal="right" wrapText="1"/>
    </xf>
    <xf numFmtId="165" fontId="0" fillId="0" borderId="23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164" fontId="9" fillId="0" borderId="23" xfId="0" applyFont="1" applyBorder="1" applyAlignment="1">
      <alignment wrapText="1"/>
    </xf>
    <xf numFmtId="168" fontId="9" fillId="0" borderId="23" xfId="0" applyNumberFormat="1" applyFont="1" applyBorder="1" applyAlignment="1">
      <alignment wrapText="1"/>
    </xf>
    <xf numFmtId="164" fontId="9" fillId="0" borderId="21" xfId="0" applyFont="1" applyBorder="1" applyAlignment="1">
      <alignment horizontal="right" wrapText="1"/>
    </xf>
    <xf numFmtId="168" fontId="0" fillId="0" borderId="0" xfId="0" applyNumberFormat="1" applyAlignment="1">
      <alignment/>
    </xf>
    <xf numFmtId="169" fontId="9" fillId="0" borderId="23" xfId="0" applyNumberFormat="1" applyFont="1" applyBorder="1" applyAlignment="1">
      <alignment/>
    </xf>
    <xf numFmtId="165" fontId="9" fillId="0" borderId="23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  <xf numFmtId="170" fontId="9" fillId="0" borderId="23" xfId="0" applyNumberFormat="1" applyFont="1" applyBorder="1" applyAlignment="1">
      <alignment/>
    </xf>
    <xf numFmtId="170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1" fillId="0" borderId="23" xfId="0" applyFont="1" applyBorder="1" applyAlignment="1">
      <alignment/>
    </xf>
    <xf numFmtId="166" fontId="21" fillId="0" borderId="23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71" fontId="0" fillId="0" borderId="23" xfId="0" applyNumberFormat="1" applyBorder="1" applyAlignment="1">
      <alignment horizontal="right" wrapText="1"/>
    </xf>
    <xf numFmtId="170" fontId="0" fillId="0" borderId="0" xfId="0" applyNumberFormat="1" applyBorder="1" applyAlignment="1">
      <alignment/>
    </xf>
    <xf numFmtId="171" fontId="9" fillId="0" borderId="23" xfId="0" applyNumberFormat="1" applyFont="1" applyBorder="1" applyAlignment="1">
      <alignment/>
    </xf>
    <xf numFmtId="164" fontId="9" fillId="0" borderId="23" xfId="0" applyFont="1" applyFill="1" applyBorder="1" applyAlignment="1">
      <alignment/>
    </xf>
    <xf numFmtId="171" fontId="9" fillId="0" borderId="0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66" fontId="0" fillId="0" borderId="23" xfId="0" applyNumberFormat="1" applyBorder="1" applyAlignment="1">
      <alignment/>
    </xf>
    <xf numFmtId="164" fontId="25" fillId="0" borderId="23" xfId="0" applyFont="1" applyBorder="1" applyAlignment="1">
      <alignment horizontal="center"/>
    </xf>
    <xf numFmtId="165" fontId="0" fillId="0" borderId="23" xfId="0" applyNumberFormat="1" applyBorder="1" applyAlignment="1">
      <alignment/>
    </xf>
    <xf numFmtId="171" fontId="0" fillId="0" borderId="23" xfId="0" applyNumberFormat="1" applyBorder="1" applyAlignment="1">
      <alignment/>
    </xf>
    <xf numFmtId="166" fontId="9" fillId="0" borderId="23" xfId="0" applyNumberFormat="1" applyFont="1" applyBorder="1" applyAlignment="1">
      <alignment/>
    </xf>
    <xf numFmtId="168" fontId="0" fillId="0" borderId="23" xfId="0" applyNumberFormat="1" applyBorder="1" applyAlignment="1">
      <alignment/>
    </xf>
    <xf numFmtId="164" fontId="0" fillId="0" borderId="0" xfId="0" applyAlignment="1">
      <alignment wrapText="1"/>
    </xf>
    <xf numFmtId="164" fontId="21" fillId="0" borderId="23" xfId="0" applyFont="1" applyBorder="1" applyAlignment="1">
      <alignment wrapText="1"/>
    </xf>
    <xf numFmtId="165" fontId="0" fillId="0" borderId="23" xfId="0" applyNumberFormat="1" applyFont="1" applyBorder="1" applyAlignment="1">
      <alignment/>
    </xf>
    <xf numFmtId="164" fontId="26" fillId="0" borderId="23" xfId="0" applyFont="1" applyBorder="1" applyAlignment="1">
      <alignment/>
    </xf>
    <xf numFmtId="164" fontId="25" fillId="0" borderId="23" xfId="0" applyFont="1" applyBorder="1" applyAlignment="1">
      <alignment horizontal="left"/>
    </xf>
    <xf numFmtId="166" fontId="0" fillId="0" borderId="23" xfId="0" applyNumberFormat="1" applyFont="1" applyBorder="1" applyAlignment="1">
      <alignment/>
    </xf>
    <xf numFmtId="164" fontId="9" fillId="0" borderId="0" xfId="0" applyFont="1" applyBorder="1" applyAlignment="1">
      <alignment wrapText="1"/>
    </xf>
    <xf numFmtId="166" fontId="9" fillId="0" borderId="0" xfId="0" applyNumberFormat="1" applyFont="1" applyBorder="1" applyAlignment="1">
      <alignment/>
    </xf>
    <xf numFmtId="164" fontId="22" fillId="0" borderId="23" xfId="0" applyFont="1" applyFill="1" applyBorder="1" applyAlignment="1">
      <alignment/>
    </xf>
    <xf numFmtId="164" fontId="9" fillId="0" borderId="0" xfId="0" applyFont="1" applyBorder="1" applyAlignment="1">
      <alignment/>
    </xf>
    <xf numFmtId="164" fontId="27" fillId="0" borderId="23" xfId="0" applyFont="1" applyBorder="1" applyAlignment="1">
      <alignment horizontal="center"/>
    </xf>
    <xf numFmtId="166" fontId="27" fillId="0" borderId="23" xfId="0" applyNumberFormat="1" applyFont="1" applyBorder="1" applyAlignment="1">
      <alignment horizontal="center"/>
    </xf>
    <xf numFmtId="164" fontId="23" fillId="0" borderId="23" xfId="0" applyFont="1" applyBorder="1" applyAlignment="1">
      <alignment/>
    </xf>
    <xf numFmtId="164" fontId="0" fillId="0" borderId="23" xfId="0" applyFont="1" applyFill="1" applyBorder="1" applyAlignment="1">
      <alignment horizontal="left" vertical="center" wrapText="1"/>
    </xf>
    <xf numFmtId="165" fontId="0" fillId="0" borderId="23" xfId="0" applyNumberFormat="1" applyFill="1" applyBorder="1" applyAlignment="1">
      <alignment/>
    </xf>
    <xf numFmtId="164" fontId="0" fillId="24" borderId="23" xfId="0" applyFont="1" applyFill="1" applyBorder="1" applyAlignment="1">
      <alignment wrapText="1"/>
    </xf>
    <xf numFmtId="165" fontId="0" fillId="24" borderId="23" xfId="0" applyNumberFormat="1" applyFill="1" applyBorder="1" applyAlignment="1">
      <alignment/>
    </xf>
    <xf numFmtId="164" fontId="26" fillId="0" borderId="23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164" fontId="26" fillId="0" borderId="0" xfId="0" applyFont="1" applyFill="1" applyBorder="1" applyAlignment="1">
      <alignment/>
    </xf>
    <xf numFmtId="164" fontId="25" fillId="0" borderId="27" xfId="0" applyFont="1" applyBorder="1" applyAlignment="1">
      <alignment horizontal="center" vertical="center" wrapText="1"/>
    </xf>
    <xf numFmtId="164" fontId="25" fillId="0" borderId="29" xfId="0" applyFont="1" applyBorder="1" applyAlignment="1">
      <alignment horizontal="center" vertical="center" wrapText="1"/>
    </xf>
    <xf numFmtId="168" fontId="25" fillId="0" borderId="27" xfId="0" applyNumberFormat="1" applyFont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0" fillId="0" borderId="0" xfId="0" applyFill="1" applyBorder="1" applyAlignment="1">
      <alignment horizontal="center" vertical="center" wrapText="1"/>
    </xf>
    <xf numFmtId="164" fontId="0" fillId="0" borderId="22" xfId="0" applyFont="1" applyBorder="1" applyAlignment="1">
      <alignment/>
    </xf>
    <xf numFmtId="168" fontId="0" fillId="0" borderId="22" xfId="0" applyNumberFormat="1" applyBorder="1" applyAlignment="1">
      <alignment/>
    </xf>
    <xf numFmtId="166" fontId="0" fillId="0" borderId="24" xfId="0" applyNumberFormat="1" applyBorder="1" applyAlignment="1">
      <alignment/>
    </xf>
    <xf numFmtId="168" fontId="0" fillId="24" borderId="24" xfId="0" applyNumberFormat="1" applyFill="1" applyBorder="1" applyAlignment="1">
      <alignment/>
    </xf>
    <xf numFmtId="165" fontId="0" fillId="0" borderId="24" xfId="0" applyNumberFormat="1" applyBorder="1" applyAlignment="1">
      <alignment/>
    </xf>
    <xf numFmtId="164" fontId="0" fillId="0" borderId="0" xfId="0" applyNumberFormat="1" applyAlignment="1">
      <alignment/>
    </xf>
    <xf numFmtId="168" fontId="0" fillId="0" borderId="24" xfId="0" applyNumberFormat="1" applyBorder="1" applyAlignment="1">
      <alignment/>
    </xf>
    <xf numFmtId="164" fontId="0" fillId="25" borderId="24" xfId="0" applyFont="1" applyFill="1" applyBorder="1" applyAlignment="1">
      <alignment wrapText="1"/>
    </xf>
    <xf numFmtId="166" fontId="0" fillId="25" borderId="24" xfId="0" applyNumberFormat="1" applyFill="1" applyBorder="1" applyAlignment="1">
      <alignment/>
    </xf>
    <xf numFmtId="164" fontId="0" fillId="25" borderId="24" xfId="0" applyFill="1" applyBorder="1" applyAlignment="1">
      <alignment/>
    </xf>
    <xf numFmtId="168" fontId="9" fillId="0" borderId="24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6" fontId="0" fillId="0" borderId="25" xfId="0" applyNumberFormat="1" applyBorder="1" applyAlignment="1">
      <alignment/>
    </xf>
    <xf numFmtId="164" fontId="0" fillId="0" borderId="25" xfId="0" applyFont="1" applyBorder="1" applyAlignment="1">
      <alignment/>
    </xf>
    <xf numFmtId="164" fontId="0" fillId="0" borderId="25" xfId="0" applyFont="1" applyBorder="1" applyAlignment="1">
      <alignment wrapText="1"/>
    </xf>
    <xf numFmtId="164" fontId="0" fillId="0" borderId="25" xfId="0" applyBorder="1" applyAlignment="1">
      <alignment/>
    </xf>
    <xf numFmtId="166" fontId="9" fillId="0" borderId="0" xfId="0" applyNumberFormat="1" applyFont="1" applyBorder="1" applyAlignment="1">
      <alignment/>
    </xf>
    <xf numFmtId="164" fontId="0" fillId="0" borderId="31" xfId="0" applyFont="1" applyFill="1" applyBorder="1" applyAlignment="1">
      <alignment/>
    </xf>
    <xf numFmtId="166" fontId="0" fillId="0" borderId="31" xfId="0" applyNumberFormat="1" applyBorder="1" applyAlignment="1">
      <alignment/>
    </xf>
    <xf numFmtId="164" fontId="0" fillId="0" borderId="31" xfId="0" applyBorder="1" applyAlignment="1">
      <alignment/>
    </xf>
    <xf numFmtId="168" fontId="0" fillId="0" borderId="25" xfId="0" applyNumberFormat="1" applyBorder="1" applyAlignment="1">
      <alignment/>
    </xf>
    <xf numFmtId="168" fontId="0" fillId="0" borderId="27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ill="1" applyBorder="1" applyAlignment="1">
      <alignment/>
    </xf>
    <xf numFmtId="164" fontId="17" fillId="0" borderId="0" xfId="0" applyFont="1" applyAlignment="1">
      <alignment/>
    </xf>
    <xf numFmtId="164" fontId="25" fillId="0" borderId="32" xfId="0" applyFont="1" applyBorder="1" applyAlignment="1">
      <alignment horizontal="center" vertical="center" wrapText="1"/>
    </xf>
    <xf numFmtId="164" fontId="25" fillId="0" borderId="33" xfId="0" applyFont="1" applyFill="1" applyBorder="1" applyAlignment="1">
      <alignment horizontal="center" vertical="center" wrapText="1"/>
    </xf>
    <xf numFmtId="165" fontId="0" fillId="0" borderId="28" xfId="0" applyNumberFormat="1" applyBorder="1" applyAlignment="1">
      <alignment/>
    </xf>
    <xf numFmtId="164" fontId="0" fillId="0" borderId="28" xfId="0" applyFont="1" applyBorder="1" applyAlignment="1">
      <alignment/>
    </xf>
    <xf numFmtId="165" fontId="0" fillId="0" borderId="16" xfId="0" applyNumberFormat="1" applyBorder="1" applyAlignment="1">
      <alignment/>
    </xf>
    <xf numFmtId="164" fontId="0" fillId="0" borderId="0" xfId="0" applyFill="1" applyAlignment="1">
      <alignment/>
    </xf>
    <xf numFmtId="164" fontId="0" fillId="0" borderId="24" xfId="0" applyFont="1" applyFill="1" applyBorder="1" applyAlignment="1">
      <alignment wrapText="1"/>
    </xf>
    <xf numFmtId="166" fontId="0" fillId="0" borderId="24" xfId="0" applyNumberFormat="1" applyFill="1" applyBorder="1" applyAlignment="1">
      <alignment/>
    </xf>
    <xf numFmtId="168" fontId="0" fillId="24" borderId="24" xfId="0" applyNumberFormat="1" applyFont="1" applyFill="1" applyBorder="1" applyAlignment="1">
      <alignment/>
    </xf>
    <xf numFmtId="164" fontId="0" fillId="0" borderId="12" xfId="0" applyBorder="1" applyAlignment="1">
      <alignment/>
    </xf>
    <xf numFmtId="165" fontId="0" fillId="0" borderId="31" xfId="0" applyNumberFormat="1" applyBorder="1" applyAlignment="1">
      <alignment/>
    </xf>
    <xf numFmtId="168" fontId="9" fillId="0" borderId="27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164" fontId="9" fillId="0" borderId="27" xfId="0" applyFont="1" applyBorder="1" applyAlignment="1">
      <alignment/>
    </xf>
    <xf numFmtId="165" fontId="9" fillId="0" borderId="34" xfId="0" applyNumberFormat="1" applyFont="1" applyBorder="1" applyAlignment="1">
      <alignment/>
    </xf>
    <xf numFmtId="172" fontId="9" fillId="0" borderId="23" xfId="0" applyNumberFormat="1" applyFont="1" applyBorder="1" applyAlignment="1">
      <alignment/>
    </xf>
    <xf numFmtId="165" fontId="9" fillId="0" borderId="23" xfId="0" applyNumberFormat="1" applyFont="1" applyBorder="1" applyAlignment="1">
      <alignment wrapText="1"/>
    </xf>
    <xf numFmtId="164" fontId="9" fillId="0" borderId="17" xfId="0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gbuh-bank\&#1076;&#1086;&#1082;&#1091;&#1084;&#1077;&#1085;&#1090;&#1099;%20-%20&#1086;&#1089;&#1078;\&#1069;&#1082;&#1086;&#1085;&#1086;&#1084;&#1080;&#1089;&#1090;%20&#1085;&#1086;&#1074;\2011%20&#1075;&#1086;&#1076;\&#1054;&#1058;&#1063;&#1045;&#1058;&#1067;%20&#1087;&#1086;%20&#1044;&#1054;&#1052;&#1040;&#1052;%202011&#1075;.%201%20&#1052;&#1040;&#1056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 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tabSelected="1" workbookViewId="0" topLeftCell="A228">
      <selection activeCell="K221" sqref="K221"/>
    </sheetView>
  </sheetViews>
  <sheetFormatPr defaultColWidth="9.140625" defaultRowHeight="15"/>
  <cols>
    <col min="1" max="1" width="28.421875" style="0" customWidth="1"/>
    <col min="2" max="2" width="28.00390625" style="0" customWidth="1"/>
    <col min="3" max="3" width="13.00390625" style="0" customWidth="1"/>
    <col min="4" max="4" width="11.8515625" style="0" customWidth="1"/>
    <col min="5" max="5" width="12.8515625" style="0" customWidth="1"/>
    <col min="6" max="6" width="14.57421875" style="0" customWidth="1"/>
    <col min="7" max="7" width="11.00390625" style="0" customWidth="1"/>
    <col min="8" max="8" width="9.421875" style="0" customWidth="1"/>
    <col min="9" max="9" width="13.281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6.5">
      <c r="A3" s="4" t="s">
        <v>1</v>
      </c>
      <c r="B3" s="4"/>
      <c r="C3" s="4"/>
      <c r="D3" s="4"/>
    </row>
    <row r="5" spans="1:4" ht="16.5">
      <c r="A5" s="4" t="s">
        <v>2</v>
      </c>
      <c r="B5" s="4"/>
      <c r="C5" s="4"/>
      <c r="D5" s="4"/>
    </row>
    <row r="7" spans="1:2" ht="17.25">
      <c r="A7" s="5" t="s">
        <v>3</v>
      </c>
      <c r="B7" s="6"/>
    </row>
    <row r="8" spans="1:3" ht="13.5">
      <c r="A8" s="7" t="s">
        <v>4</v>
      </c>
      <c r="B8" s="8">
        <v>6673.7</v>
      </c>
      <c r="C8" s="9"/>
    </row>
    <row r="9" spans="1:3" ht="13.5">
      <c r="A9" s="10" t="s">
        <v>5</v>
      </c>
      <c r="B9" s="11">
        <v>2217.3</v>
      </c>
      <c r="C9" s="9"/>
    </row>
    <row r="10" spans="1:3" ht="13.5">
      <c r="A10" s="12" t="s">
        <v>6</v>
      </c>
      <c r="B10" s="13">
        <f>B8+B9</f>
        <v>8891</v>
      </c>
      <c r="C10" s="9"/>
    </row>
    <row r="12" spans="1:3" ht="17.25">
      <c r="A12" s="5" t="s">
        <v>7</v>
      </c>
      <c r="B12" s="5"/>
      <c r="C12" s="14"/>
    </row>
    <row r="13" spans="1:7" ht="15" customHeight="1">
      <c r="A13" s="15" t="s">
        <v>8</v>
      </c>
      <c r="B13" s="16" t="s">
        <v>9</v>
      </c>
      <c r="C13" s="16" t="s">
        <v>9</v>
      </c>
      <c r="D13" s="16" t="s">
        <v>9</v>
      </c>
      <c r="E13" s="16" t="s">
        <v>9</v>
      </c>
      <c r="F13" s="17" t="s">
        <v>9</v>
      </c>
      <c r="G13" s="18"/>
    </row>
    <row r="14" spans="1:7" ht="14.25">
      <c r="A14" s="15"/>
      <c r="B14" s="16"/>
      <c r="C14" s="16"/>
      <c r="D14" s="16"/>
      <c r="E14" s="16"/>
      <c r="F14" s="17"/>
      <c r="G14" s="19" t="s">
        <v>10</v>
      </c>
    </row>
    <row r="15" spans="1:7" ht="27.75">
      <c r="A15" s="15"/>
      <c r="B15" s="20"/>
      <c r="C15" s="20" t="s">
        <v>11</v>
      </c>
      <c r="D15" s="20" t="s">
        <v>12</v>
      </c>
      <c r="E15" s="20" t="s">
        <v>13</v>
      </c>
      <c r="F15" s="21" t="s">
        <v>14</v>
      </c>
      <c r="G15" s="22" t="s">
        <v>15</v>
      </c>
    </row>
    <row r="16" spans="1:7" ht="14.25">
      <c r="A16" s="23" t="s">
        <v>16</v>
      </c>
      <c r="B16" s="24">
        <v>15</v>
      </c>
      <c r="C16" s="25">
        <v>16</v>
      </c>
      <c r="D16" s="25">
        <v>16</v>
      </c>
      <c r="E16" s="25">
        <v>16</v>
      </c>
      <c r="F16" s="25">
        <v>16</v>
      </c>
      <c r="G16" s="25">
        <f>(F16*3+B16*2+C16*4+D16*2+E16)/12</f>
        <v>15.833333333333334</v>
      </c>
    </row>
    <row r="17" spans="1:7" ht="13.5">
      <c r="A17" s="26" t="s">
        <v>17</v>
      </c>
      <c r="B17" s="27">
        <v>7.18</v>
      </c>
      <c r="C17" s="28">
        <v>7.1</v>
      </c>
      <c r="D17" s="28">
        <v>7.53</v>
      </c>
      <c r="E17" s="28">
        <v>8.04</v>
      </c>
      <c r="F17" s="28"/>
      <c r="G17" s="25">
        <f>(F17*3+B17*2+C17*4+D17*2+E17)/9</f>
        <v>7.3177777777777795</v>
      </c>
    </row>
    <row r="18" spans="1:7" ht="13.5">
      <c r="A18" s="26" t="s">
        <v>18</v>
      </c>
      <c r="B18" s="29">
        <v>0.7</v>
      </c>
      <c r="C18" s="25">
        <v>0.7</v>
      </c>
      <c r="D18" s="25">
        <v>0.7</v>
      </c>
      <c r="E18" s="25">
        <v>0.7</v>
      </c>
      <c r="F18" s="25">
        <v>0.7</v>
      </c>
      <c r="G18" s="25">
        <f>(F18*3+B18*2+C18*4+D18*2+E18)/12</f>
        <v>0.7000000000000001</v>
      </c>
    </row>
    <row r="19" spans="1:7" ht="13.5">
      <c r="A19" s="26" t="s">
        <v>19</v>
      </c>
      <c r="B19" s="27">
        <v>1.46</v>
      </c>
      <c r="C19" s="28">
        <v>1.46</v>
      </c>
      <c r="D19" s="28">
        <v>1.46</v>
      </c>
      <c r="E19" s="28">
        <v>1.46</v>
      </c>
      <c r="F19" s="28">
        <v>1.46</v>
      </c>
      <c r="G19" s="25">
        <f>(F19*3+B19*2+C19*4+D19*2+E19)/12</f>
        <v>1.4600000000000002</v>
      </c>
    </row>
    <row r="20" spans="1:7" ht="27.75">
      <c r="A20" s="30" t="s">
        <v>20</v>
      </c>
      <c r="B20" s="29">
        <v>20.93</v>
      </c>
      <c r="C20" s="25">
        <v>20.93</v>
      </c>
      <c r="D20" s="25">
        <v>22.2</v>
      </c>
      <c r="E20" s="25">
        <v>23.14</v>
      </c>
      <c r="F20" s="25"/>
      <c r="G20" s="25">
        <f>(B20*6+D20*2+E20)/9</f>
        <v>21.45777777777778</v>
      </c>
    </row>
    <row r="21" spans="1:7" ht="13.5">
      <c r="A21" s="26" t="s">
        <v>21</v>
      </c>
      <c r="B21" s="29">
        <v>4.7</v>
      </c>
      <c r="C21" s="25">
        <v>2.8</v>
      </c>
      <c r="D21" s="25">
        <v>2.8</v>
      </c>
      <c r="E21" s="25">
        <v>2.8</v>
      </c>
      <c r="F21" s="25">
        <v>2.8</v>
      </c>
      <c r="G21" s="25">
        <f>(F21*3+B21*2+C21*4+D21*2+E21)/12</f>
        <v>3.1166666666666667</v>
      </c>
    </row>
    <row r="22" spans="1:7" ht="13.5">
      <c r="A22" s="31" t="s">
        <v>22</v>
      </c>
      <c r="B22" s="27">
        <v>0.38</v>
      </c>
      <c r="C22" s="28">
        <v>0.38</v>
      </c>
      <c r="D22" s="28">
        <v>0.41</v>
      </c>
      <c r="E22" s="28">
        <v>0.41</v>
      </c>
      <c r="F22" s="28">
        <v>0.41</v>
      </c>
      <c r="G22" s="25">
        <f>(F22*3+B22*2+C22*4+D22*2+E22)/12</f>
        <v>0.395</v>
      </c>
    </row>
    <row r="23" spans="1:7" ht="27.75">
      <c r="A23" s="32" t="s">
        <v>23</v>
      </c>
      <c r="B23" s="33">
        <v>0.27</v>
      </c>
      <c r="C23" s="34">
        <v>0.27</v>
      </c>
      <c r="D23" s="34">
        <v>0.27</v>
      </c>
      <c r="E23" s="34">
        <v>0.27</v>
      </c>
      <c r="F23" s="34">
        <v>0.27</v>
      </c>
      <c r="G23" s="34">
        <f>(F23*3+B23*2+C23*4+D23*2+E23)/12</f>
        <v>0.27</v>
      </c>
    </row>
    <row r="24" spans="1:7" ht="14.25">
      <c r="A24" s="35" t="s">
        <v>24</v>
      </c>
      <c r="B24" s="29">
        <v>1.01</v>
      </c>
      <c r="C24" s="25">
        <v>0.8</v>
      </c>
      <c r="D24" s="25">
        <v>0.84</v>
      </c>
      <c r="E24" s="25">
        <v>0.84</v>
      </c>
      <c r="F24" s="25">
        <v>0.84</v>
      </c>
      <c r="G24" s="25">
        <f>(F24*3+B24*2+C24*4+D24*2+E24)/12</f>
        <v>0.855</v>
      </c>
    </row>
    <row r="25" spans="1:7" ht="13.5">
      <c r="A25" s="36" t="s">
        <v>25</v>
      </c>
      <c r="B25" s="27">
        <v>0.1</v>
      </c>
      <c r="C25" s="28">
        <v>0.1</v>
      </c>
      <c r="D25" s="28">
        <v>0.1</v>
      </c>
      <c r="E25" s="28">
        <v>0.1</v>
      </c>
      <c r="F25" s="28">
        <v>0.1</v>
      </c>
      <c r="G25" s="37">
        <f>(F25*3+B25*2+C25*4+D25*2+E25)/12</f>
        <v>0.10000000000000002</v>
      </c>
    </row>
    <row r="26" spans="1:7" ht="13.5">
      <c r="A26" s="38" t="s">
        <v>26</v>
      </c>
      <c r="B26" s="39">
        <f>SUM(B16:B25)</f>
        <v>51.730000000000004</v>
      </c>
      <c r="C26" s="39">
        <f>SUM(C16:C25)</f>
        <v>50.540000000000006</v>
      </c>
      <c r="D26" s="39">
        <f>SUM(D16:D25)</f>
        <v>52.31</v>
      </c>
      <c r="E26" s="39">
        <f>SUM(E16:E25)</f>
        <v>53.760000000000005</v>
      </c>
      <c r="F26" s="39">
        <f>SUM(F16:F25)</f>
        <v>22.58</v>
      </c>
      <c r="G26" s="39">
        <f>SUM(G16:G25)</f>
        <v>51.50555555555557</v>
      </c>
    </row>
    <row r="27" spans="1:7" ht="13.5">
      <c r="A27" s="40"/>
      <c r="B27" s="41"/>
      <c r="C27" s="41"/>
      <c r="D27" s="41"/>
      <c r="E27" s="41"/>
      <c r="F27" s="41"/>
      <c r="G27" s="41"/>
    </row>
    <row r="28" spans="1:7" ht="41.25">
      <c r="A28" s="42" t="s">
        <v>27</v>
      </c>
      <c r="B28" s="34">
        <v>13.89</v>
      </c>
      <c r="C28" s="41"/>
      <c r="D28" s="41"/>
      <c r="E28" s="41"/>
      <c r="F28" s="41"/>
      <c r="G28" s="41"/>
    </row>
    <row r="29" spans="1:7" ht="27.75">
      <c r="A29" s="42" t="s">
        <v>28</v>
      </c>
      <c r="B29" s="25">
        <v>12.56</v>
      </c>
      <c r="C29" s="25">
        <v>12.56</v>
      </c>
      <c r="D29" s="25">
        <v>13.33</v>
      </c>
      <c r="E29" s="25">
        <v>13.89</v>
      </c>
      <c r="F29" s="25"/>
      <c r="G29" s="25">
        <f>(B29*6+D29*2+E29)/9</f>
        <v>12.878888888888888</v>
      </c>
    </row>
    <row r="31" ht="17.25">
      <c r="A31" s="5" t="s">
        <v>29</v>
      </c>
    </row>
    <row r="32" spans="1:2" ht="41.25">
      <c r="A32" s="43" t="s">
        <v>30</v>
      </c>
      <c r="B32" s="44">
        <v>4550890.42</v>
      </c>
    </row>
    <row r="33" spans="1:2" ht="27.75">
      <c r="A33" s="43" t="s">
        <v>31</v>
      </c>
      <c r="B33" s="44">
        <v>4297850.74</v>
      </c>
    </row>
    <row r="34" spans="1:2" ht="17.25">
      <c r="A34" s="5" t="s">
        <v>32</v>
      </c>
      <c r="B34" s="45"/>
    </row>
    <row r="35" spans="1:2" ht="27.75">
      <c r="A35" s="43" t="s">
        <v>33</v>
      </c>
      <c r="B35" s="46">
        <v>452467.87</v>
      </c>
    </row>
    <row r="36" spans="1:7" ht="27.75">
      <c r="A36" s="43" t="s">
        <v>34</v>
      </c>
      <c r="B36" s="46">
        <v>705507.55</v>
      </c>
      <c r="G36" s="45"/>
    </row>
    <row r="37" spans="1:2" ht="13.5">
      <c r="A37" s="47" t="s">
        <v>35</v>
      </c>
      <c r="B37" s="46"/>
    </row>
    <row r="38" spans="1:4" ht="13.5">
      <c r="A38" s="48" t="s">
        <v>36</v>
      </c>
      <c r="B38" s="49">
        <v>95857.05</v>
      </c>
      <c r="C38" s="50"/>
      <c r="D38" s="50"/>
    </row>
    <row r="39" spans="1:4" ht="13.5">
      <c r="A39" s="48" t="s">
        <v>37</v>
      </c>
      <c r="B39" s="49">
        <v>28832.37</v>
      </c>
      <c r="C39" s="50"/>
      <c r="D39" s="50"/>
    </row>
    <row r="40" spans="1:4" ht="13.5">
      <c r="A40" s="48" t="s">
        <v>38</v>
      </c>
      <c r="B40" s="49">
        <v>25053.28</v>
      </c>
      <c r="C40" s="50"/>
      <c r="D40" s="50"/>
    </row>
    <row r="41" spans="1:4" ht="13.5">
      <c r="A41" s="48" t="s">
        <v>39</v>
      </c>
      <c r="B41" s="49">
        <v>24708.3</v>
      </c>
      <c r="C41" s="50"/>
      <c r="D41" s="50"/>
    </row>
    <row r="42" spans="1:4" ht="13.5">
      <c r="A42" s="48" t="s">
        <v>40</v>
      </c>
      <c r="B42" s="49">
        <v>22977.08</v>
      </c>
      <c r="C42" s="50"/>
      <c r="D42" s="50"/>
    </row>
    <row r="43" spans="1:4" ht="13.5">
      <c r="A43" s="48" t="s">
        <v>41</v>
      </c>
      <c r="B43" s="49">
        <v>22060.26</v>
      </c>
      <c r="C43" s="50"/>
      <c r="D43" s="50"/>
    </row>
    <row r="44" spans="1:2" ht="13.5">
      <c r="A44" s="51"/>
      <c r="B44" s="46"/>
    </row>
    <row r="45" ht="17.25">
      <c r="A45" s="5" t="s">
        <v>42</v>
      </c>
    </row>
    <row r="46" spans="1:7" ht="15.75" customHeight="1">
      <c r="A46" s="52" t="s">
        <v>43</v>
      </c>
      <c r="B46" s="51"/>
      <c r="C46" s="51"/>
      <c r="D46" s="53" t="s">
        <v>44</v>
      </c>
      <c r="E46" s="54" t="s">
        <v>45</v>
      </c>
      <c r="F46" s="55"/>
      <c r="G46" s="55"/>
    </row>
    <row r="47" spans="1:7" ht="13.5">
      <c r="A47" s="56" t="s">
        <v>46</v>
      </c>
      <c r="B47" s="56" t="s">
        <v>47</v>
      </c>
      <c r="C47" s="56" t="s">
        <v>48</v>
      </c>
      <c r="D47" s="53"/>
      <c r="E47" s="54"/>
      <c r="F47" s="57"/>
      <c r="G47" s="9"/>
    </row>
    <row r="48" spans="1:8" ht="14.25">
      <c r="A48" s="51" t="s">
        <v>49</v>
      </c>
      <c r="B48" s="51" t="s">
        <v>50</v>
      </c>
      <c r="C48" s="58">
        <v>215052.64</v>
      </c>
      <c r="D48" s="59">
        <f>C48/896.8</f>
        <v>239.80000000000004</v>
      </c>
      <c r="E48" s="60">
        <f>C48/$B$8</f>
        <v>32.22389978572606</v>
      </c>
      <c r="F48" s="9" t="s">
        <v>51</v>
      </c>
      <c r="G48" s="61" t="s">
        <v>51</v>
      </c>
      <c r="H48" t="s">
        <v>51</v>
      </c>
    </row>
    <row r="49" spans="1:8" ht="14.25">
      <c r="A49" s="51" t="s">
        <v>52</v>
      </c>
      <c r="B49" s="51" t="s">
        <v>53</v>
      </c>
      <c r="C49" s="58">
        <v>221868.32</v>
      </c>
      <c r="D49" s="59">
        <f>C49/896.8</f>
        <v>247.40000000000003</v>
      </c>
      <c r="E49" s="60">
        <f>C49/$B$8</f>
        <v>33.245174341070175</v>
      </c>
      <c r="F49" s="9" t="s">
        <v>51</v>
      </c>
      <c r="G49" s="61" t="s">
        <v>51</v>
      </c>
      <c r="H49" t="s">
        <v>51</v>
      </c>
    </row>
    <row r="50" spans="1:8" ht="14.25">
      <c r="A50" s="51" t="s">
        <v>54</v>
      </c>
      <c r="B50" s="51" t="s">
        <v>55</v>
      </c>
      <c r="C50" s="58">
        <v>172364.96</v>
      </c>
      <c r="D50" s="59">
        <f>C50/896.8</f>
        <v>192.2</v>
      </c>
      <c r="E50" s="60">
        <f>C50/$B$8</f>
        <v>25.827495991728725</v>
      </c>
      <c r="F50" s="9" t="s">
        <v>51</v>
      </c>
      <c r="G50" s="61" t="s">
        <v>51</v>
      </c>
      <c r="H50" t="s">
        <v>51</v>
      </c>
    </row>
    <row r="51" spans="1:8" ht="14.25">
      <c r="A51" s="51" t="s">
        <v>56</v>
      </c>
      <c r="B51" s="51" t="s">
        <v>57</v>
      </c>
      <c r="C51" s="58">
        <v>85823.76</v>
      </c>
      <c r="D51" s="59">
        <f>C51/896.8</f>
        <v>95.7</v>
      </c>
      <c r="E51" s="60">
        <f>C51/$B$8</f>
        <v>12.859996703477831</v>
      </c>
      <c r="F51" s="9" t="s">
        <v>51</v>
      </c>
      <c r="G51" s="61" t="s">
        <v>51</v>
      </c>
      <c r="H51" t="s">
        <v>51</v>
      </c>
    </row>
    <row r="52" spans="1:8" ht="14.25">
      <c r="A52" s="51" t="s">
        <v>58</v>
      </c>
      <c r="B52" s="51" t="s">
        <v>59</v>
      </c>
      <c r="C52" s="58">
        <v>21792.24</v>
      </c>
      <c r="D52" s="59">
        <f>C52/896.8</f>
        <v>24.300000000000004</v>
      </c>
      <c r="E52" s="60">
        <f>C52/$B$8</f>
        <v>3.265391012481832</v>
      </c>
      <c r="F52" s="9" t="s">
        <v>51</v>
      </c>
      <c r="G52" s="61" t="s">
        <v>51</v>
      </c>
      <c r="H52" t="s">
        <v>51</v>
      </c>
    </row>
    <row r="53" spans="1:7" ht="14.25">
      <c r="A53" s="51" t="s">
        <v>60</v>
      </c>
      <c r="B53" s="51"/>
      <c r="C53" s="58">
        <v>0</v>
      </c>
      <c r="D53" s="59">
        <f>C53/896.8</f>
        <v>0</v>
      </c>
      <c r="E53" s="60">
        <f>C53/$B$8</f>
        <v>0</v>
      </c>
      <c r="F53" s="9" t="s">
        <v>51</v>
      </c>
      <c r="G53" s="61" t="s">
        <v>51</v>
      </c>
    </row>
    <row r="54" spans="1:7" ht="14.25">
      <c r="A54" s="51" t="s">
        <v>61</v>
      </c>
      <c r="B54" s="51" t="s">
        <v>62</v>
      </c>
      <c r="C54" s="58">
        <v>20923.76</v>
      </c>
      <c r="D54" s="59">
        <f>C54/951.08</f>
        <v>21.999999999999996</v>
      </c>
      <c r="E54" s="60">
        <f>C54/$B$8</f>
        <v>3.135256304598648</v>
      </c>
      <c r="F54" s="9" t="s">
        <v>51</v>
      </c>
      <c r="G54" s="61" t="s">
        <v>51</v>
      </c>
    </row>
    <row r="55" spans="1:7" ht="14.25">
      <c r="A55" s="51" t="s">
        <v>63</v>
      </c>
      <c r="B55" s="51" t="s">
        <v>64</v>
      </c>
      <c r="C55" s="58">
        <v>22445.488</v>
      </c>
      <c r="D55" s="59">
        <f>C55/951.08</f>
        <v>23.6</v>
      </c>
      <c r="E55" s="60">
        <f>C55/$B$8</f>
        <v>3.363274944933096</v>
      </c>
      <c r="F55" s="9" t="s">
        <v>51</v>
      </c>
      <c r="G55" s="61" t="s">
        <v>51</v>
      </c>
    </row>
    <row r="56" spans="1:7" ht="14.25">
      <c r="A56" s="51" t="s">
        <v>65</v>
      </c>
      <c r="B56" s="51" t="s">
        <v>66</v>
      </c>
      <c r="C56" s="58">
        <v>22202.88</v>
      </c>
      <c r="D56" s="59">
        <f>C56/991.2</f>
        <v>22.4</v>
      </c>
      <c r="E56" s="60">
        <f>C56/$B$8</f>
        <v>3.3269220971874676</v>
      </c>
      <c r="F56" s="9" t="s">
        <v>51</v>
      </c>
      <c r="G56" s="61"/>
    </row>
    <row r="57" spans="1:7" ht="14.25">
      <c r="A57" s="62" t="s">
        <v>67</v>
      </c>
      <c r="B57" s="51"/>
      <c r="C57" s="63">
        <f>SUM(C48:C56)</f>
        <v>782474.0480000001</v>
      </c>
      <c r="D57" s="64">
        <f>SUM(D48:D56)</f>
        <v>867.4000000000001</v>
      </c>
      <c r="E57" s="60"/>
      <c r="F57" s="9"/>
      <c r="G57" s="61"/>
    </row>
    <row r="58" spans="1:7" ht="14.25">
      <c r="A58" s="62" t="s">
        <v>68</v>
      </c>
      <c r="B58" s="51"/>
      <c r="C58" s="63">
        <f>C57*1.01</f>
        <v>790298.7884800001</v>
      </c>
      <c r="D58" s="59"/>
      <c r="E58" s="60"/>
      <c r="F58" s="9"/>
      <c r="G58" s="61"/>
    </row>
    <row r="59" spans="1:7" ht="13.5">
      <c r="A59" s="47" t="s">
        <v>69</v>
      </c>
      <c r="B59" s="51"/>
      <c r="C59" s="58"/>
      <c r="D59" s="59"/>
      <c r="E59" s="60"/>
      <c r="F59" s="9"/>
      <c r="G59" s="61"/>
    </row>
    <row r="60" spans="1:8" ht="14.25">
      <c r="A60" s="51" t="s">
        <v>70</v>
      </c>
      <c r="B60" s="51" t="s">
        <v>71</v>
      </c>
      <c r="C60" s="58">
        <v>78403.92</v>
      </c>
      <c r="D60" s="59">
        <f>C60/991.2</f>
        <v>79.1</v>
      </c>
      <c r="E60" s="60">
        <f>C60/$B$8</f>
        <v>11.748193655693244</v>
      </c>
      <c r="F60" s="9" t="s">
        <v>51</v>
      </c>
      <c r="G60" s="61"/>
      <c r="H60" s="65"/>
    </row>
    <row r="61" spans="1:8" ht="14.25">
      <c r="A61" s="51" t="s">
        <v>72</v>
      </c>
      <c r="B61" s="51" t="s">
        <v>73</v>
      </c>
      <c r="C61" s="58">
        <v>149373.84</v>
      </c>
      <c r="D61" s="59">
        <f>C61/991.2</f>
        <v>150.7</v>
      </c>
      <c r="E61" s="60">
        <f>C61/$B$8</f>
        <v>22.382462502060328</v>
      </c>
      <c r="F61" s="9" t="s">
        <v>51</v>
      </c>
      <c r="G61" s="61"/>
      <c r="H61" s="65"/>
    </row>
    <row r="62" spans="1:8" ht="14.25">
      <c r="A62" s="51" t="s">
        <v>74</v>
      </c>
      <c r="B62" s="51" t="s">
        <v>75</v>
      </c>
      <c r="C62" s="58">
        <v>237590.64</v>
      </c>
      <c r="D62" s="59">
        <f>C62/991.2</f>
        <v>239.70000000000002</v>
      </c>
      <c r="E62" s="60">
        <f>C62/$B$8</f>
        <v>35.6010369060641</v>
      </c>
      <c r="F62" s="9" t="s">
        <v>51</v>
      </c>
      <c r="G62" s="61"/>
      <c r="H62" s="65"/>
    </row>
    <row r="63" spans="1:7" ht="14.25">
      <c r="A63" s="62" t="s">
        <v>76</v>
      </c>
      <c r="B63" s="62"/>
      <c r="C63" s="66">
        <f>SUM(C60:C62)+C57</f>
        <v>1247842.448</v>
      </c>
      <c r="D63" s="67">
        <f>SUM(D48:D62)</f>
        <v>2204.3</v>
      </c>
      <c r="E63" s="67"/>
      <c r="F63" s="68" t="s">
        <v>51</v>
      </c>
      <c r="G63" s="69" t="s">
        <v>51</v>
      </c>
    </row>
    <row r="64" spans="1:9" ht="14.25">
      <c r="A64" s="62" t="s">
        <v>77</v>
      </c>
      <c r="B64" s="62"/>
      <c r="C64" s="66">
        <f>C63*1.01</f>
        <v>1260320.8724800001</v>
      </c>
      <c r="D64" s="70"/>
      <c r="E64" s="47"/>
      <c r="F64" s="9"/>
      <c r="G64" s="69"/>
      <c r="H64" s="71"/>
      <c r="I64" s="71"/>
    </row>
    <row r="65" spans="3:5" ht="13.5">
      <c r="C65" s="72"/>
      <c r="D65" s="6"/>
      <c r="E65" s="6"/>
    </row>
    <row r="66" spans="1:5" ht="17.25">
      <c r="A66" s="52" t="s">
        <v>78</v>
      </c>
      <c r="B66" s="73"/>
      <c r="C66" s="74"/>
      <c r="D66" s="53" t="s">
        <v>79</v>
      </c>
      <c r="E66" s="9"/>
    </row>
    <row r="67" spans="1:5" ht="17.25" customHeight="1">
      <c r="A67" s="51" t="s">
        <v>49</v>
      </c>
      <c r="B67" s="51" t="s">
        <v>80</v>
      </c>
      <c r="C67" s="75">
        <v>47067</v>
      </c>
      <c r="D67" s="76">
        <f>C67/21.6412</f>
        <v>2174.8793967062825</v>
      </c>
      <c r="E67" s="77"/>
    </row>
    <row r="68" spans="1:5" ht="17.25" customHeight="1">
      <c r="A68" s="51" t="s">
        <v>52</v>
      </c>
      <c r="B68" s="51" t="s">
        <v>81</v>
      </c>
      <c r="C68" s="75">
        <v>48516.88</v>
      </c>
      <c r="D68" s="76">
        <f>C68/21.6412</f>
        <v>2241.8756815703377</v>
      </c>
      <c r="E68" s="77"/>
    </row>
    <row r="69" spans="1:5" ht="15.75" customHeight="1">
      <c r="A69" s="51" t="s">
        <v>54</v>
      </c>
      <c r="B69" s="51" t="s">
        <v>82</v>
      </c>
      <c r="C69" s="75">
        <v>43041.96</v>
      </c>
      <c r="D69" s="76">
        <f>C69/21.6412</f>
        <v>1988.8897103672623</v>
      </c>
      <c r="E69" s="77"/>
    </row>
    <row r="70" spans="1:5" ht="15.75" customHeight="1">
      <c r="A70" s="51" t="s">
        <v>56</v>
      </c>
      <c r="B70" s="51" t="s">
        <v>83</v>
      </c>
      <c r="C70" s="75">
        <v>42695.72</v>
      </c>
      <c r="D70" s="76">
        <f>C70/21.6412</f>
        <v>1972.8905975639059</v>
      </c>
      <c r="E70" s="77"/>
    </row>
    <row r="71" spans="1:5" ht="15.75" customHeight="1">
      <c r="A71" s="51" t="s">
        <v>58</v>
      </c>
      <c r="B71" s="51" t="s">
        <v>84</v>
      </c>
      <c r="C71" s="75">
        <v>40055.64</v>
      </c>
      <c r="D71" s="76">
        <f>C71/21.6412</f>
        <v>1850.897362438312</v>
      </c>
      <c r="E71" s="77"/>
    </row>
    <row r="72" spans="1:5" ht="15.75" customHeight="1">
      <c r="A72" s="51" t="s">
        <v>60</v>
      </c>
      <c r="B72" s="51" t="s">
        <v>85</v>
      </c>
      <c r="C72" s="75">
        <v>32113.76</v>
      </c>
      <c r="D72" s="76">
        <f>C72/21.6412</f>
        <v>1483.917712511321</v>
      </c>
      <c r="E72" s="77"/>
    </row>
    <row r="73" spans="1:5" ht="16.5" customHeight="1">
      <c r="A73" s="51" t="s">
        <v>61</v>
      </c>
      <c r="B73" s="51" t="s">
        <v>86</v>
      </c>
      <c r="C73" s="75">
        <v>31588.38</v>
      </c>
      <c r="D73" s="76">
        <v>1377</v>
      </c>
      <c r="E73" s="77"/>
    </row>
    <row r="74" spans="1:5" ht="16.5" customHeight="1">
      <c r="A74" s="51" t="s">
        <v>63</v>
      </c>
      <c r="B74" s="51" t="s">
        <v>87</v>
      </c>
      <c r="C74" s="75">
        <v>40076.18</v>
      </c>
      <c r="D74" s="76">
        <v>1747</v>
      </c>
      <c r="E74" s="77"/>
    </row>
    <row r="75" spans="1:5" ht="15.75" customHeight="1">
      <c r="A75" s="51" t="s">
        <v>65</v>
      </c>
      <c r="B75" s="51" t="s">
        <v>88</v>
      </c>
      <c r="C75" s="75">
        <v>37426.77</v>
      </c>
      <c r="D75" s="76">
        <v>1527</v>
      </c>
      <c r="E75" s="77"/>
    </row>
    <row r="76" spans="1:5" ht="15.75" customHeight="1">
      <c r="A76" s="51" t="s">
        <v>89</v>
      </c>
      <c r="B76" s="51"/>
      <c r="C76" s="75">
        <v>905.38</v>
      </c>
      <c r="D76" s="76"/>
      <c r="E76" s="77"/>
    </row>
    <row r="77" spans="1:5" ht="15.75" customHeight="1">
      <c r="A77" s="47" t="s">
        <v>67</v>
      </c>
      <c r="B77" s="51"/>
      <c r="C77" s="78">
        <f>SUM(C67:C76)</f>
        <v>363487.67000000004</v>
      </c>
      <c r="D77" s="78">
        <f>SUM(D67:D75)</f>
        <v>16364.350461157423</v>
      </c>
      <c r="E77" s="77"/>
    </row>
    <row r="78" spans="1:5" ht="15.75" customHeight="1">
      <c r="A78" s="79" t="s">
        <v>68</v>
      </c>
      <c r="B78" s="51"/>
      <c r="C78" s="78">
        <f>C77*1.01</f>
        <v>367122.54670000006</v>
      </c>
      <c r="D78" s="70"/>
      <c r="E78" s="77"/>
    </row>
    <row r="79" spans="1:5" ht="15.75" customHeight="1">
      <c r="A79" s="47" t="s">
        <v>69</v>
      </c>
      <c r="B79" s="51"/>
      <c r="C79" s="75"/>
      <c r="D79" s="76"/>
      <c r="E79" s="77"/>
    </row>
    <row r="80" spans="1:5" ht="14.25">
      <c r="A80" s="51" t="s">
        <v>70</v>
      </c>
      <c r="B80" s="51" t="s">
        <v>90</v>
      </c>
      <c r="C80" s="60">
        <v>53382.78</v>
      </c>
      <c r="D80" s="76">
        <f>C80/24.51</f>
        <v>2178</v>
      </c>
      <c r="E80" s="77"/>
    </row>
    <row r="81" spans="1:5" ht="14.25">
      <c r="A81" s="51" t="s">
        <v>72</v>
      </c>
      <c r="B81" s="51" t="s">
        <v>91</v>
      </c>
      <c r="C81" s="60">
        <v>41519.94</v>
      </c>
      <c r="D81" s="76">
        <f>C81/24.51</f>
        <v>1694</v>
      </c>
      <c r="E81" s="77"/>
    </row>
    <row r="82" spans="1:5" ht="14.25">
      <c r="A82" s="51" t="s">
        <v>74</v>
      </c>
      <c r="B82" s="51" t="s">
        <v>92</v>
      </c>
      <c r="C82" s="60">
        <v>60882.84</v>
      </c>
      <c r="D82" s="76">
        <f>C82/24.51</f>
        <v>2484</v>
      </c>
      <c r="E82" s="77"/>
    </row>
    <row r="83" spans="1:6" ht="13.5">
      <c r="A83" s="47" t="s">
        <v>76</v>
      </c>
      <c r="B83" s="51"/>
      <c r="C83" s="78">
        <f>SUM(C80:C82)+C77</f>
        <v>519273.23000000004</v>
      </c>
      <c r="D83" s="78">
        <f>SUM(D80:D82)+D77</f>
        <v>22720.350461157424</v>
      </c>
      <c r="E83" s="71"/>
      <c r="F83" s="71"/>
    </row>
    <row r="84" spans="1:6" ht="13.5">
      <c r="A84" s="79" t="s">
        <v>77</v>
      </c>
      <c r="B84" s="51"/>
      <c r="C84" s="78">
        <f>C83*1.01</f>
        <v>524465.9623</v>
      </c>
      <c r="D84" s="70"/>
      <c r="E84" s="6"/>
      <c r="F84" s="71"/>
    </row>
    <row r="85" spans="1:6" ht="13.5">
      <c r="A85" s="40"/>
      <c r="B85" s="9"/>
      <c r="C85" s="80"/>
      <c r="D85" s="81"/>
      <c r="E85" s="6"/>
      <c r="F85" s="71"/>
    </row>
    <row r="86" spans="1:4" ht="17.25">
      <c r="A86" s="52" t="s">
        <v>93</v>
      </c>
      <c r="B86" s="73"/>
      <c r="C86" s="82"/>
      <c r="D86" s="83" t="s">
        <v>94</v>
      </c>
    </row>
    <row r="87" spans="1:4" ht="15" customHeight="1">
      <c r="A87" s="51" t="s">
        <v>49</v>
      </c>
      <c r="B87" s="51" t="s">
        <v>95</v>
      </c>
      <c r="C87" s="84">
        <v>6120</v>
      </c>
      <c r="D87" s="85">
        <v>2400</v>
      </c>
    </row>
    <row r="88" spans="1:4" ht="15" customHeight="1">
      <c r="A88" s="51" t="s">
        <v>52</v>
      </c>
      <c r="B88" s="51" t="s">
        <v>96</v>
      </c>
      <c r="C88" s="84">
        <v>6732</v>
      </c>
      <c r="D88" s="85">
        <f>C88/2.55</f>
        <v>2640</v>
      </c>
    </row>
    <row r="89" spans="1:4" ht="15" customHeight="1">
      <c r="A89" s="51" t="s">
        <v>54</v>
      </c>
      <c r="B89" s="51" t="s">
        <v>97</v>
      </c>
      <c r="C89" s="84">
        <v>5406</v>
      </c>
      <c r="D89" s="85">
        <f>C89/2.55</f>
        <v>2120</v>
      </c>
    </row>
    <row r="90" spans="1:4" ht="15" customHeight="1">
      <c r="A90" s="51" t="s">
        <v>56</v>
      </c>
      <c r="B90" s="51" t="s">
        <v>98</v>
      </c>
      <c r="C90" s="84">
        <v>5304</v>
      </c>
      <c r="D90" s="85">
        <f>C90/2.55</f>
        <v>2080</v>
      </c>
    </row>
    <row r="91" spans="1:4" ht="15" customHeight="1">
      <c r="A91" s="51" t="s">
        <v>58</v>
      </c>
      <c r="B91" s="51" t="s">
        <v>99</v>
      </c>
      <c r="C91" s="84">
        <v>5712</v>
      </c>
      <c r="D91" s="85">
        <f>C91/2.55</f>
        <v>2240</v>
      </c>
    </row>
    <row r="92" spans="1:4" ht="15" customHeight="1">
      <c r="A92" s="51" t="s">
        <v>60</v>
      </c>
      <c r="B92" s="51" t="s">
        <v>100</v>
      </c>
      <c r="C92" s="84">
        <v>4080</v>
      </c>
      <c r="D92" s="85">
        <f>C92/2.55</f>
        <v>1600</v>
      </c>
    </row>
    <row r="93" spans="1:4" ht="15" customHeight="1">
      <c r="A93" s="51" t="s">
        <v>61</v>
      </c>
      <c r="B93" s="51" t="s">
        <v>101</v>
      </c>
      <c r="C93" s="84">
        <v>4949.6</v>
      </c>
      <c r="D93" s="85">
        <f>C93/2.69</f>
        <v>1840.0000000000002</v>
      </c>
    </row>
    <row r="94" spans="1:4" ht="15" customHeight="1">
      <c r="A94" s="51" t="s">
        <v>63</v>
      </c>
      <c r="B94" s="51" t="s">
        <v>102</v>
      </c>
      <c r="C94" s="84">
        <v>5272.4</v>
      </c>
      <c r="D94" s="85">
        <f>C94/2.69</f>
        <v>1960.0000000000002</v>
      </c>
    </row>
    <row r="95" spans="1:4" ht="15" customHeight="1">
      <c r="A95" s="51" t="s">
        <v>65</v>
      </c>
      <c r="B95" s="51" t="s">
        <v>103</v>
      </c>
      <c r="C95" s="84">
        <v>5272.4</v>
      </c>
      <c r="D95" s="85">
        <f>C95/2.69</f>
        <v>1960.0000000000002</v>
      </c>
    </row>
    <row r="96" spans="1:4" ht="13.5">
      <c r="A96" s="51" t="s">
        <v>70</v>
      </c>
      <c r="B96" s="51" t="s">
        <v>104</v>
      </c>
      <c r="C96" s="60">
        <v>6778.8</v>
      </c>
      <c r="D96" s="85">
        <f>C96/2.69</f>
        <v>2520</v>
      </c>
    </row>
    <row r="97" spans="1:4" ht="13.5">
      <c r="A97" s="51" t="s">
        <v>72</v>
      </c>
      <c r="B97" s="51" t="s">
        <v>105</v>
      </c>
      <c r="C97" s="60">
        <v>6671.2</v>
      </c>
      <c r="D97" s="85">
        <f>C97/2.69</f>
        <v>2480</v>
      </c>
    </row>
    <row r="98" spans="1:4" ht="13.5">
      <c r="A98" s="51" t="s">
        <v>74</v>
      </c>
      <c r="B98" s="51" t="s">
        <v>106</v>
      </c>
      <c r="C98" s="60">
        <v>5380</v>
      </c>
      <c r="D98" s="85">
        <f>C98/2.69</f>
        <v>2000</v>
      </c>
    </row>
    <row r="99" spans="1:4" ht="13.5">
      <c r="A99" s="47" t="s">
        <v>107</v>
      </c>
      <c r="B99" s="51"/>
      <c r="C99" s="86">
        <f>SUM(C87:C98)</f>
        <v>67678.4</v>
      </c>
      <c r="D99" s="78">
        <f>SUM(D87:D98)</f>
        <v>25840</v>
      </c>
    </row>
    <row r="100" spans="1:5" ht="13.5">
      <c r="A100" s="47" t="s">
        <v>108</v>
      </c>
      <c r="B100" s="51"/>
      <c r="C100" s="86">
        <f>C99*1.01</f>
        <v>68355.184</v>
      </c>
      <c r="D100" s="46"/>
      <c r="E100" s="81"/>
    </row>
    <row r="101" ht="13.5">
      <c r="C101" s="72"/>
    </row>
    <row r="102" spans="1:3" ht="17.25">
      <c r="A102" s="52" t="s">
        <v>109</v>
      </c>
      <c r="B102" s="73"/>
      <c r="C102" s="82"/>
    </row>
    <row r="103" spans="1:3" ht="13.5">
      <c r="A103" s="51" t="s">
        <v>49</v>
      </c>
      <c r="B103" s="51" t="s">
        <v>110</v>
      </c>
      <c r="C103" s="87">
        <v>6476.31</v>
      </c>
    </row>
    <row r="104" spans="1:3" ht="13.5">
      <c r="A104" s="51" t="s">
        <v>52</v>
      </c>
      <c r="B104" s="51" t="s">
        <v>111</v>
      </c>
      <c r="C104" s="87">
        <v>6476.31</v>
      </c>
    </row>
    <row r="105" spans="1:3" ht="15.75" customHeight="1">
      <c r="A105" s="51" t="s">
        <v>54</v>
      </c>
      <c r="B105" s="51" t="s">
        <v>112</v>
      </c>
      <c r="C105" s="87">
        <v>6476.31</v>
      </c>
    </row>
    <row r="106" spans="1:3" ht="16.5" customHeight="1">
      <c r="A106" s="51" t="s">
        <v>56</v>
      </c>
      <c r="B106" s="51" t="s">
        <v>113</v>
      </c>
      <c r="C106" s="87">
        <v>6476.31</v>
      </c>
    </row>
    <row r="107" spans="1:3" ht="16.5" customHeight="1">
      <c r="A107" s="51" t="s">
        <v>58</v>
      </c>
      <c r="B107" s="51" t="s">
        <v>114</v>
      </c>
      <c r="C107" s="87">
        <v>6476.31</v>
      </c>
    </row>
    <row r="108" spans="1:3" ht="15.75" customHeight="1">
      <c r="A108" s="51" t="s">
        <v>60</v>
      </c>
      <c r="B108" s="51" t="s">
        <v>115</v>
      </c>
      <c r="C108" s="87">
        <v>6476.31</v>
      </c>
    </row>
    <row r="109" spans="1:3" ht="16.5" customHeight="1">
      <c r="A109" s="51" t="s">
        <v>61</v>
      </c>
      <c r="B109" s="51" t="s">
        <v>116</v>
      </c>
      <c r="C109" s="87">
        <v>6864.87</v>
      </c>
    </row>
    <row r="110" spans="1:3" ht="14.25" customHeight="1">
      <c r="A110" s="51" t="s">
        <v>63</v>
      </c>
      <c r="B110" s="51" t="s">
        <v>117</v>
      </c>
      <c r="C110" s="87">
        <v>6864.87</v>
      </c>
    </row>
    <row r="111" spans="1:3" ht="15.75" customHeight="1">
      <c r="A111" s="51" t="s">
        <v>65</v>
      </c>
      <c r="B111" s="51" t="s">
        <v>118</v>
      </c>
      <c r="C111" s="87">
        <v>6864.87</v>
      </c>
    </row>
    <row r="112" spans="1:3" ht="13.5">
      <c r="A112" s="51" t="s">
        <v>70</v>
      </c>
      <c r="B112" s="51" t="s">
        <v>119</v>
      </c>
      <c r="C112" s="87">
        <v>6864.87</v>
      </c>
    </row>
    <row r="113" spans="1:3" ht="13.5">
      <c r="A113" s="51" t="s">
        <v>72</v>
      </c>
      <c r="B113" s="51" t="s">
        <v>120</v>
      </c>
      <c r="C113" s="87">
        <v>6864.87</v>
      </c>
    </row>
    <row r="114" spans="1:3" ht="13.5">
      <c r="A114" s="51" t="s">
        <v>74</v>
      </c>
      <c r="B114" s="51" t="s">
        <v>121</v>
      </c>
      <c r="C114" s="87">
        <v>6864.87</v>
      </c>
    </row>
    <row r="115" spans="1:5" ht="13.5">
      <c r="A115" s="47" t="s">
        <v>107</v>
      </c>
      <c r="B115" s="51"/>
      <c r="C115" s="86">
        <f>SUM(C103:C114)</f>
        <v>80047.08</v>
      </c>
      <c r="E115" s="81"/>
    </row>
    <row r="116" spans="1:3" ht="13.5">
      <c r="A116" s="79" t="s">
        <v>108</v>
      </c>
      <c r="B116" s="43"/>
      <c r="C116" s="86">
        <f>C115*1.01</f>
        <v>80847.5508</v>
      </c>
    </row>
    <row r="117" spans="2:3" ht="13.5">
      <c r="B117" s="88"/>
      <c r="C117" s="72"/>
    </row>
    <row r="118" spans="1:3" ht="17.25">
      <c r="A118" s="52" t="s">
        <v>23</v>
      </c>
      <c r="B118" s="89"/>
      <c r="C118" s="82"/>
    </row>
    <row r="119" spans="1:3" ht="19.5" customHeight="1">
      <c r="A119" s="51" t="s">
        <v>49</v>
      </c>
      <c r="B119" s="43" t="s">
        <v>122</v>
      </c>
      <c r="C119" s="90">
        <v>1050</v>
      </c>
    </row>
    <row r="120" spans="1:3" ht="20.25" customHeight="1">
      <c r="A120" s="51" t="str">
        <f>A119</f>
        <v>Январь</v>
      </c>
      <c r="B120" s="43" t="s">
        <v>123</v>
      </c>
      <c r="C120" s="90">
        <v>12000</v>
      </c>
    </row>
    <row r="121" spans="1:3" ht="20.25" customHeight="1">
      <c r="A121" s="51" t="s">
        <v>54</v>
      </c>
      <c r="B121" s="43" t="s">
        <v>124</v>
      </c>
      <c r="C121" s="90">
        <v>61600</v>
      </c>
    </row>
    <row r="122" spans="1:3" ht="33" customHeight="1">
      <c r="A122" s="51" t="s">
        <v>60</v>
      </c>
      <c r="B122" s="43" t="s">
        <v>125</v>
      </c>
      <c r="C122" s="90">
        <v>6000</v>
      </c>
    </row>
    <row r="123" spans="1:3" ht="27.75">
      <c r="A123" s="51" t="s">
        <v>65</v>
      </c>
      <c r="B123" s="43" t="s">
        <v>126</v>
      </c>
      <c r="C123" s="90">
        <v>3100</v>
      </c>
    </row>
    <row r="124" spans="1:3" ht="15">
      <c r="A124" s="91" t="s">
        <v>107</v>
      </c>
      <c r="B124" s="51"/>
      <c r="C124" s="86">
        <f>SUM(C119:C123)</f>
        <v>83750</v>
      </c>
    </row>
    <row r="125" spans="1:5" ht="13.5">
      <c r="A125" s="79" t="s">
        <v>108</v>
      </c>
      <c r="B125" s="43"/>
      <c r="C125" s="86">
        <f>C124*1.01</f>
        <v>84587.5</v>
      </c>
      <c r="E125" s="81"/>
    </row>
    <row r="126" spans="2:3" ht="13.5">
      <c r="B126" s="88"/>
      <c r="C126" s="72"/>
    </row>
    <row r="127" spans="1:3" ht="17.25">
      <c r="A127" s="52" t="s">
        <v>127</v>
      </c>
      <c r="B127" s="89"/>
      <c r="C127" s="82"/>
    </row>
    <row r="128" spans="1:3" ht="13.5">
      <c r="A128" s="51" t="s">
        <v>49</v>
      </c>
      <c r="B128" s="92" t="s">
        <v>128</v>
      </c>
      <c r="C128" s="93">
        <v>6160</v>
      </c>
    </row>
    <row r="129" spans="1:3" ht="15" customHeight="1">
      <c r="A129" s="51" t="s">
        <v>49</v>
      </c>
      <c r="B129" s="51" t="s">
        <v>129</v>
      </c>
      <c r="C129" s="60">
        <v>8037.52</v>
      </c>
    </row>
    <row r="130" spans="1:3" ht="15" customHeight="1">
      <c r="A130" s="51" t="s">
        <v>52</v>
      </c>
      <c r="B130" s="51" t="s">
        <v>130</v>
      </c>
      <c r="C130" s="60">
        <v>8037.52</v>
      </c>
    </row>
    <row r="131" spans="1:3" ht="15.75" customHeight="1">
      <c r="A131" s="51" t="s">
        <v>54</v>
      </c>
      <c r="B131" s="51" t="s">
        <v>131</v>
      </c>
      <c r="C131" s="60">
        <v>8037.52</v>
      </c>
    </row>
    <row r="132" spans="1:3" ht="15.75" customHeight="1">
      <c r="A132" s="51" t="s">
        <v>56</v>
      </c>
      <c r="B132" s="51" t="s">
        <v>132</v>
      </c>
      <c r="C132" s="60">
        <v>8037.52</v>
      </c>
    </row>
    <row r="133" spans="1:3" ht="15.75" customHeight="1">
      <c r="A133" s="51" t="s">
        <v>58</v>
      </c>
      <c r="B133" s="51" t="s">
        <v>133</v>
      </c>
      <c r="C133" s="60">
        <v>8037.52</v>
      </c>
    </row>
    <row r="134" spans="1:3" ht="15" customHeight="1">
      <c r="A134" s="51" t="s">
        <v>60</v>
      </c>
      <c r="B134" s="43" t="s">
        <v>134</v>
      </c>
      <c r="C134" s="60">
        <v>8037.52</v>
      </c>
    </row>
    <row r="135" spans="1:3" ht="15" customHeight="1">
      <c r="A135" s="51" t="s">
        <v>61</v>
      </c>
      <c r="B135" s="43" t="s">
        <v>135</v>
      </c>
      <c r="C135" s="60">
        <v>8037.52</v>
      </c>
    </row>
    <row r="136" spans="1:3" ht="15" customHeight="1">
      <c r="A136" s="51" t="s">
        <v>63</v>
      </c>
      <c r="B136" s="43" t="s">
        <v>136</v>
      </c>
      <c r="C136" s="60">
        <v>8037.52</v>
      </c>
    </row>
    <row r="137" spans="1:3" ht="15" customHeight="1">
      <c r="A137" s="51" t="s">
        <v>65</v>
      </c>
      <c r="B137" s="43" t="s">
        <v>137</v>
      </c>
      <c r="C137" s="60">
        <v>8037.52</v>
      </c>
    </row>
    <row r="138" spans="1:3" ht="14.25">
      <c r="A138" s="51" t="s">
        <v>70</v>
      </c>
      <c r="B138" s="43" t="s">
        <v>138</v>
      </c>
      <c r="C138" s="60">
        <v>8037.52</v>
      </c>
    </row>
    <row r="139" spans="1:3" ht="13.5">
      <c r="A139" s="51" t="s">
        <v>72</v>
      </c>
      <c r="B139" s="51" t="s">
        <v>139</v>
      </c>
      <c r="C139" s="60">
        <v>8037.52</v>
      </c>
    </row>
    <row r="140" spans="1:3" ht="13.5">
      <c r="A140" s="51" t="s">
        <v>74</v>
      </c>
      <c r="B140" s="51" t="s">
        <v>140</v>
      </c>
      <c r="C140" s="60">
        <v>8037.52</v>
      </c>
    </row>
    <row r="141" spans="1:3" ht="13.5">
      <c r="A141" s="47" t="s">
        <v>107</v>
      </c>
      <c r="B141" s="62"/>
      <c r="C141" s="86">
        <f>SUM(C128:C140)</f>
        <v>102610.24000000003</v>
      </c>
    </row>
    <row r="142" spans="1:3" ht="13.5">
      <c r="A142" s="79" t="s">
        <v>108</v>
      </c>
      <c r="B142" s="62"/>
      <c r="C142" s="86">
        <f>C141*1.01</f>
        <v>103636.34240000004</v>
      </c>
    </row>
    <row r="143" spans="1:3" ht="13.5">
      <c r="A143" s="40"/>
      <c r="B143" s="94"/>
      <c r="C143" s="95"/>
    </row>
    <row r="144" spans="1:3" ht="13.5">
      <c r="A144" s="96" t="s">
        <v>141</v>
      </c>
      <c r="B144" s="62"/>
      <c r="C144" s="86"/>
    </row>
    <row r="145" spans="1:3" ht="14.25">
      <c r="A145" s="51" t="s">
        <v>49</v>
      </c>
      <c r="B145" s="43" t="s">
        <v>142</v>
      </c>
      <c r="C145" s="93">
        <v>2530.99</v>
      </c>
    </row>
    <row r="146" spans="1:3" ht="14.25">
      <c r="A146" s="51" t="s">
        <v>52</v>
      </c>
      <c r="B146" s="43" t="s">
        <v>143</v>
      </c>
      <c r="C146" s="93">
        <v>2530.99</v>
      </c>
    </row>
    <row r="147" spans="1:3" ht="14.25">
      <c r="A147" s="51" t="s">
        <v>54</v>
      </c>
      <c r="B147" s="43" t="s">
        <v>144</v>
      </c>
      <c r="C147" s="93">
        <v>2530.99</v>
      </c>
    </row>
    <row r="148" spans="1:3" ht="14.25">
      <c r="A148" s="51" t="s">
        <v>56</v>
      </c>
      <c r="B148" s="43" t="s">
        <v>145</v>
      </c>
      <c r="C148" s="93">
        <v>2530.99</v>
      </c>
    </row>
    <row r="149" spans="1:3" ht="14.25">
      <c r="A149" s="51" t="s">
        <v>58</v>
      </c>
      <c r="B149" s="43" t="s">
        <v>146</v>
      </c>
      <c r="C149" s="93">
        <v>2530.99</v>
      </c>
    </row>
    <row r="150" spans="1:3" ht="14.25">
      <c r="A150" s="51" t="s">
        <v>60</v>
      </c>
      <c r="B150" s="43" t="s">
        <v>147</v>
      </c>
      <c r="C150" s="93">
        <v>2530.99</v>
      </c>
    </row>
    <row r="151" spans="1:3" ht="13.5">
      <c r="A151" s="51" t="s">
        <v>61</v>
      </c>
      <c r="B151" s="51" t="s">
        <v>148</v>
      </c>
      <c r="C151" s="93">
        <v>2689.56</v>
      </c>
    </row>
    <row r="152" spans="1:3" ht="13.5">
      <c r="A152" s="51" t="s">
        <v>63</v>
      </c>
      <c r="B152" s="51" t="s">
        <v>149</v>
      </c>
      <c r="C152" s="93">
        <v>2689.56</v>
      </c>
    </row>
    <row r="153" spans="1:3" ht="13.5">
      <c r="A153" s="51" t="s">
        <v>65</v>
      </c>
      <c r="B153" s="51" t="s">
        <v>150</v>
      </c>
      <c r="C153" s="93">
        <v>2689.56</v>
      </c>
    </row>
    <row r="154" spans="1:3" ht="13.5">
      <c r="A154" s="51" t="s">
        <v>70</v>
      </c>
      <c r="B154" s="51" t="s">
        <v>151</v>
      </c>
      <c r="C154" s="93">
        <v>2689.56</v>
      </c>
    </row>
    <row r="155" spans="1:3" ht="13.5">
      <c r="A155" s="51" t="s">
        <v>72</v>
      </c>
      <c r="B155" s="51" t="s">
        <v>152</v>
      </c>
      <c r="C155" s="93">
        <v>2689.56</v>
      </c>
    </row>
    <row r="156" spans="1:3" ht="13.5">
      <c r="A156" s="51" t="s">
        <v>74</v>
      </c>
      <c r="B156" s="51" t="s">
        <v>153</v>
      </c>
      <c r="C156" s="93">
        <v>2689.56</v>
      </c>
    </row>
    <row r="157" spans="1:3" ht="13.5">
      <c r="A157" s="47" t="s">
        <v>107</v>
      </c>
      <c r="B157" s="51"/>
      <c r="C157" s="86">
        <f>SUM(C145:C156)</f>
        <v>31323.300000000003</v>
      </c>
    </row>
    <row r="158" spans="1:3" ht="13.5">
      <c r="A158" s="79" t="s">
        <v>154</v>
      </c>
      <c r="B158" s="47"/>
      <c r="C158" s="86">
        <f>C157*1.01</f>
        <v>31636.533000000003</v>
      </c>
    </row>
    <row r="159" spans="1:3" ht="13.5">
      <c r="A159" s="40"/>
      <c r="B159" s="97"/>
      <c r="C159" s="95"/>
    </row>
    <row r="160" spans="1:3" ht="15">
      <c r="A160" s="52" t="s">
        <v>155</v>
      </c>
      <c r="B160" s="98" t="s">
        <v>156</v>
      </c>
      <c r="C160" s="99" t="s">
        <v>157</v>
      </c>
    </row>
    <row r="161" spans="1:3" ht="13.5">
      <c r="A161" s="47" t="s">
        <v>107</v>
      </c>
      <c r="B161" s="43"/>
      <c r="C161" s="44">
        <v>0</v>
      </c>
    </row>
    <row r="162" spans="1:5" ht="13.5">
      <c r="A162" s="79" t="s">
        <v>108</v>
      </c>
      <c r="B162" s="43"/>
      <c r="C162" s="44">
        <f>C161*1.01</f>
        <v>0</v>
      </c>
      <c r="E162" s="81"/>
    </row>
    <row r="163" spans="1:3" ht="13.5">
      <c r="A163" s="40"/>
      <c r="B163" s="97"/>
      <c r="C163" s="95"/>
    </row>
    <row r="164" spans="1:3" ht="17.25">
      <c r="A164" s="100" t="s">
        <v>158</v>
      </c>
      <c r="B164" s="89"/>
      <c r="C164" s="82"/>
    </row>
    <row r="165" spans="1:3" ht="19.5" customHeight="1">
      <c r="A165" s="43" t="s">
        <v>159</v>
      </c>
      <c r="B165" s="43" t="s">
        <v>160</v>
      </c>
      <c r="C165" s="60">
        <v>3020</v>
      </c>
    </row>
    <row r="166" spans="1:3" ht="16.5" customHeight="1">
      <c r="A166" s="43" t="s">
        <v>161</v>
      </c>
      <c r="B166" s="43" t="s">
        <v>162</v>
      </c>
      <c r="C166" s="60">
        <v>119780.56</v>
      </c>
    </row>
    <row r="167" spans="1:3" ht="60" customHeight="1">
      <c r="A167" s="43" t="s">
        <v>163</v>
      </c>
      <c r="B167" s="43" t="s">
        <v>164</v>
      </c>
      <c r="C167" s="60">
        <v>14784</v>
      </c>
    </row>
    <row r="168" spans="1:3" ht="29.25" customHeight="1">
      <c r="A168" s="43" t="s">
        <v>165</v>
      </c>
      <c r="B168" s="43" t="s">
        <v>166</v>
      </c>
      <c r="C168" s="60">
        <v>8700</v>
      </c>
    </row>
    <row r="169" spans="1:3" ht="15.75" customHeight="1">
      <c r="A169" s="43" t="s">
        <v>167</v>
      </c>
      <c r="B169" s="43" t="s">
        <v>168</v>
      </c>
      <c r="C169" s="60">
        <v>7800</v>
      </c>
    </row>
    <row r="170" spans="1:3" ht="75" customHeight="1">
      <c r="A170" s="101" t="s">
        <v>169</v>
      </c>
      <c r="B170" s="35" t="s">
        <v>170</v>
      </c>
      <c r="C170" s="102">
        <f>24979.77+7670.95</f>
        <v>32650.72</v>
      </c>
    </row>
    <row r="171" spans="1:3" ht="19.5" customHeight="1">
      <c r="A171" s="43" t="s">
        <v>171</v>
      </c>
      <c r="B171" s="43" t="s">
        <v>172</v>
      </c>
      <c r="C171" s="60">
        <v>127157.84</v>
      </c>
    </row>
    <row r="172" spans="1:3" ht="19.5" customHeight="1">
      <c r="A172" s="35" t="s">
        <v>173</v>
      </c>
      <c r="B172" s="35" t="s">
        <v>174</v>
      </c>
      <c r="C172" s="102">
        <v>30000</v>
      </c>
    </row>
    <row r="173" spans="1:3" ht="31.5" customHeight="1">
      <c r="A173" s="35" t="s">
        <v>175</v>
      </c>
      <c r="B173" s="103" t="s">
        <v>176</v>
      </c>
      <c r="C173" s="104">
        <v>6606</v>
      </c>
    </row>
    <row r="174" spans="1:3" ht="31.5" customHeight="1">
      <c r="A174" s="35" t="s">
        <v>177</v>
      </c>
      <c r="B174" s="103" t="s">
        <v>178</v>
      </c>
      <c r="C174" s="104">
        <v>1925.54</v>
      </c>
    </row>
    <row r="175" spans="1:3" ht="22.5" customHeight="1">
      <c r="A175" s="35" t="s">
        <v>179</v>
      </c>
      <c r="B175" s="103" t="s">
        <v>180</v>
      </c>
      <c r="C175" s="104">
        <v>3000</v>
      </c>
    </row>
    <row r="176" spans="1:3" ht="43.5" customHeight="1">
      <c r="A176" s="101" t="s">
        <v>181</v>
      </c>
      <c r="B176" s="35" t="s">
        <v>182</v>
      </c>
      <c r="C176" s="102">
        <v>5000</v>
      </c>
    </row>
    <row r="177" spans="1:3" ht="36.75" customHeight="1">
      <c r="A177" s="101" t="s">
        <v>183</v>
      </c>
      <c r="B177" s="35" t="s">
        <v>184</v>
      </c>
      <c r="C177" s="102">
        <v>28740</v>
      </c>
    </row>
    <row r="178" spans="1:3" ht="35.25" customHeight="1">
      <c r="A178" s="35" t="s">
        <v>185</v>
      </c>
      <c r="B178" s="103" t="s">
        <v>186</v>
      </c>
      <c r="C178" s="104">
        <v>3895</v>
      </c>
    </row>
    <row r="179" spans="1:3" ht="31.5" customHeight="1">
      <c r="A179" s="35" t="s">
        <v>187</v>
      </c>
      <c r="B179" s="103" t="s">
        <v>188</v>
      </c>
      <c r="C179" s="104">
        <v>798</v>
      </c>
    </row>
    <row r="180" spans="1:3" ht="17.25" customHeight="1">
      <c r="A180" s="35" t="s">
        <v>189</v>
      </c>
      <c r="B180" s="103" t="s">
        <v>190</v>
      </c>
      <c r="C180" s="104">
        <v>1322</v>
      </c>
    </row>
    <row r="181" spans="1:3" ht="30" customHeight="1">
      <c r="A181" s="35" t="s">
        <v>191</v>
      </c>
      <c r="B181" s="103" t="s">
        <v>192</v>
      </c>
      <c r="C181" s="104">
        <v>492</v>
      </c>
    </row>
    <row r="182" spans="1:3" ht="42.75" customHeight="1">
      <c r="A182" s="35" t="s">
        <v>193</v>
      </c>
      <c r="B182" s="103" t="s">
        <v>194</v>
      </c>
      <c r="C182" s="104">
        <v>7645.6</v>
      </c>
    </row>
    <row r="183" spans="1:3" ht="32.25" customHeight="1">
      <c r="A183" s="35" t="s">
        <v>195</v>
      </c>
      <c r="B183" s="103" t="s">
        <v>196</v>
      </c>
      <c r="C183" s="104">
        <v>1300</v>
      </c>
    </row>
    <row r="184" spans="1:3" ht="31.5" customHeight="1">
      <c r="A184" s="35" t="s">
        <v>197</v>
      </c>
      <c r="B184" s="103" t="s">
        <v>198</v>
      </c>
      <c r="C184" s="104">
        <f>10138+4910</f>
        <v>15048</v>
      </c>
    </row>
    <row r="185" spans="1:3" ht="33.75" customHeight="1">
      <c r="A185" s="35" t="s">
        <v>199</v>
      </c>
      <c r="B185" s="103" t="s">
        <v>200</v>
      </c>
      <c r="C185" s="104">
        <v>677</v>
      </c>
    </row>
    <row r="186" spans="1:3" ht="24.75" customHeight="1">
      <c r="A186" s="35" t="s">
        <v>201</v>
      </c>
      <c r="B186" s="35" t="s">
        <v>202</v>
      </c>
      <c r="C186" s="102">
        <f>1149*1.2</f>
        <v>1378.8</v>
      </c>
    </row>
    <row r="187" spans="1:3" ht="13.5">
      <c r="A187" s="47" t="s">
        <v>203</v>
      </c>
      <c r="B187" s="51"/>
      <c r="C187" s="86">
        <f>SUM(C165:C186)</f>
        <v>421721.05999999994</v>
      </c>
    </row>
    <row r="188" spans="1:5" ht="15">
      <c r="A188" s="105" t="s">
        <v>204</v>
      </c>
      <c r="B188" s="47"/>
      <c r="C188" s="86">
        <f>C187*1.01</f>
        <v>425938.27059999993</v>
      </c>
      <c r="E188" s="106"/>
    </row>
    <row r="189" spans="1:3" ht="15">
      <c r="A189" s="107"/>
      <c r="B189" s="97"/>
      <c r="C189" s="95"/>
    </row>
    <row r="190" ht="12.75" hidden="1">
      <c r="A190" s="5" t="s">
        <v>205</v>
      </c>
    </row>
    <row r="191" spans="1:7" ht="12.75" hidden="1">
      <c r="A191" s="108" t="s">
        <v>206</v>
      </c>
      <c r="B191" s="108" t="s">
        <v>207</v>
      </c>
      <c r="C191" s="109" t="s">
        <v>208</v>
      </c>
      <c r="D191" s="110" t="s">
        <v>209</v>
      </c>
      <c r="E191" s="108" t="s">
        <v>210</v>
      </c>
      <c r="F191" s="111" t="s">
        <v>211</v>
      </c>
      <c r="G191" s="112"/>
    </row>
    <row r="192" spans="1:7" ht="12.75" hidden="1">
      <c r="A192" s="113"/>
      <c r="B192" s="113"/>
      <c r="C192" s="113"/>
      <c r="D192" s="114"/>
      <c r="E192" s="113"/>
      <c r="F192" s="113"/>
      <c r="G192" s="97"/>
    </row>
    <row r="193" spans="1:10" ht="12.75" hidden="1">
      <c r="A193" s="26" t="s">
        <v>78</v>
      </c>
      <c r="B193" s="115">
        <f>C84-19330.34-2460.2</f>
        <v>502675.4223</v>
      </c>
      <c r="C193" s="26">
        <f>6686.5-909.2</f>
        <v>5777.3</v>
      </c>
      <c r="D193" s="116">
        <f>B193/C193/12</f>
        <v>7.2507258624270845</v>
      </c>
      <c r="E193" s="116">
        <f>B17</f>
        <v>7.18</v>
      </c>
      <c r="F193" s="117">
        <f>E193-D193</f>
        <v>-0.07072586242708478</v>
      </c>
      <c r="G193" s="97" t="s">
        <v>212</v>
      </c>
      <c r="H193" s="118" t="e">
        <f>(B231-B232-B233)*12*7</f>
        <v>#REF!</v>
      </c>
      <c r="I193" s="45" t="e">
        <f>C84-H193-21790.54</f>
        <v>#REF!</v>
      </c>
      <c r="J193" s="71" t="e">
        <f>I193/B231/12</f>
        <v>#REF!</v>
      </c>
    </row>
    <row r="194" spans="1:7" ht="12.75" hidden="1">
      <c r="A194" s="30" t="s">
        <v>109</v>
      </c>
      <c r="B194" s="115">
        <f>C116</f>
        <v>80847.5508</v>
      </c>
      <c r="C194" s="26">
        <f>B10</f>
        <v>8891</v>
      </c>
      <c r="D194" s="119">
        <f>B194/C194/12</f>
        <v>0.7577658193679001</v>
      </c>
      <c r="E194" s="119">
        <f>B18</f>
        <v>0.7000000000000001</v>
      </c>
      <c r="F194" s="117">
        <f>E194-D194</f>
        <v>-0.05776581936790004</v>
      </c>
      <c r="G194" s="97"/>
    </row>
    <row r="195" spans="1:11" ht="12.75" hidden="1">
      <c r="A195" s="26" t="s">
        <v>127</v>
      </c>
      <c r="B195" s="115">
        <f>C142</f>
        <v>103636.34240000004</v>
      </c>
      <c r="C195" s="26">
        <v>6686.5</v>
      </c>
      <c r="D195" s="119">
        <f>B195/C195/12</f>
        <v>1.2916117350881133</v>
      </c>
      <c r="E195" s="119">
        <f>B19</f>
        <v>1.46</v>
      </c>
      <c r="F195" s="117">
        <f>E195-D195</f>
        <v>0.16838826491188663</v>
      </c>
      <c r="G195" s="6" t="s">
        <v>213</v>
      </c>
      <c r="H195" s="6"/>
      <c r="I195" s="6"/>
      <c r="J195" s="6"/>
      <c r="K195" s="6"/>
    </row>
    <row r="196" spans="1:11" ht="12.75" customHeight="1" hidden="1">
      <c r="A196" s="120" t="s">
        <v>214</v>
      </c>
      <c r="B196" s="121">
        <f>D196*C196*12</f>
        <v>1515644.2190080557</v>
      </c>
      <c r="C196" s="122">
        <v>5777.3</v>
      </c>
      <c r="D196" s="123">
        <f>B238</f>
        <v>21.86206098304363</v>
      </c>
      <c r="E196" s="123">
        <f>B20</f>
        <v>20.93</v>
      </c>
      <c r="F196" s="117">
        <f>E196-D196</f>
        <v>-0.9320609830436304</v>
      </c>
      <c r="G196" s="124">
        <v>-158309.27</v>
      </c>
      <c r="H196" s="125">
        <f>C64-158309.27</f>
        <v>1102011.6024800001</v>
      </c>
      <c r="I196" s="124">
        <f>H196/C196/12</f>
        <v>15.895712565846793</v>
      </c>
      <c r="J196" s="6">
        <v>17.74</v>
      </c>
      <c r="K196" s="126">
        <f>J196-I196</f>
        <v>1.8442874341532054</v>
      </c>
    </row>
    <row r="197" spans="1:11" ht="12.75" hidden="1">
      <c r="A197" s="120" t="s">
        <v>215</v>
      </c>
      <c r="B197" s="121" t="e">
        <f>D197*C197*12</f>
        <v>#REF!</v>
      </c>
      <c r="C197" s="122" t="e">
        <f>B232+B233</f>
        <v>#REF!</v>
      </c>
      <c r="D197" s="123">
        <f>B239</f>
        <v>13.117236589826177</v>
      </c>
      <c r="E197" s="123">
        <v>10.64</v>
      </c>
      <c r="F197" s="117">
        <f>E197-D197</f>
        <v>-2.477236589826177</v>
      </c>
      <c r="G197" s="124"/>
      <c r="H197" s="125"/>
      <c r="I197" s="124"/>
      <c r="J197" s="6"/>
      <c r="K197" s="126"/>
    </row>
    <row r="198" spans="1:7" ht="12.75" hidden="1">
      <c r="A198" s="26" t="s">
        <v>216</v>
      </c>
      <c r="B198" s="115">
        <f>C100</f>
        <v>68355.184</v>
      </c>
      <c r="C198" s="26">
        <f>C194</f>
        <v>8891</v>
      </c>
      <c r="D198" s="119">
        <f>B198/C198/12</f>
        <v>0.6406776890488508</v>
      </c>
      <c r="E198" s="119" t="e">
        <f>#REF!</f>
        <v>#REF!</v>
      </c>
      <c r="F198" s="117" t="e">
        <f>E198-D198</f>
        <v>#REF!</v>
      </c>
      <c r="G198" s="97"/>
    </row>
    <row r="199" spans="1:7" ht="12.75" hidden="1">
      <c r="A199" s="36" t="s">
        <v>21</v>
      </c>
      <c r="B199" s="127">
        <f>C188</f>
        <v>425938.27059999993</v>
      </c>
      <c r="C199" s="128">
        <f>C198</f>
        <v>8891</v>
      </c>
      <c r="D199" s="119">
        <f>B199/C199/12</f>
        <v>3.9922231338807026</v>
      </c>
      <c r="E199" s="119">
        <f>B21</f>
        <v>4.7</v>
      </c>
      <c r="F199" s="117">
        <f>E199-D199</f>
        <v>0.7077768661192976</v>
      </c>
      <c r="G199" s="97"/>
    </row>
    <row r="200" spans="1:7" ht="12.75" hidden="1">
      <c r="A200" s="26" t="s">
        <v>141</v>
      </c>
      <c r="B200" s="115">
        <f>C158</f>
        <v>31636.533000000003</v>
      </c>
      <c r="C200" s="26">
        <f>C195</f>
        <v>6686.5</v>
      </c>
      <c r="D200" s="119">
        <f>B200/C200/12</f>
        <v>0.3942836685859568</v>
      </c>
      <c r="E200" s="119">
        <f>B22</f>
        <v>0.38</v>
      </c>
      <c r="F200" s="117">
        <f>E200-D200</f>
        <v>-0.01428366858595681</v>
      </c>
      <c r="G200" s="97"/>
    </row>
    <row r="201" spans="1:7" ht="12.75" hidden="1">
      <c r="A201" s="129" t="s">
        <v>23</v>
      </c>
      <c r="B201" s="127">
        <f>C125</f>
        <v>84587.5</v>
      </c>
      <c r="C201" s="130">
        <f>C198</f>
        <v>8891</v>
      </c>
      <c r="D201" s="119">
        <f>B201/C201/12</f>
        <v>0.7928195178645071</v>
      </c>
      <c r="E201" s="119">
        <f>B23</f>
        <v>0.27</v>
      </c>
      <c r="F201" s="117">
        <f>E201-D201</f>
        <v>-0.5228195178645071</v>
      </c>
      <c r="G201" s="131" t="e">
        <f>B196+B197+B237</f>
        <v>#REF!</v>
      </c>
    </row>
    <row r="202" spans="1:7" ht="12.75" hidden="1">
      <c r="A202" s="132" t="s">
        <v>25</v>
      </c>
      <c r="B202" s="133">
        <f>C162</f>
        <v>0</v>
      </c>
      <c r="C202" s="134">
        <f>C201</f>
        <v>8891</v>
      </c>
      <c r="D202" s="135">
        <f>B202/C202/12</f>
        <v>0</v>
      </c>
      <c r="E202" s="135">
        <f>B25</f>
        <v>0.1</v>
      </c>
      <c r="F202" s="117">
        <f>E202-D202</f>
        <v>0.1</v>
      </c>
      <c r="G202" s="97"/>
    </row>
    <row r="203" spans="4:6" ht="12.75" hidden="1">
      <c r="D203" s="136">
        <f>SUM(D193:D202)</f>
        <v>50.099404999132915</v>
      </c>
      <c r="E203" s="137" t="e">
        <f>SUM(E193:E202)</f>
        <v>#REF!</v>
      </c>
      <c r="F203" s="137" t="e">
        <f>SUM(F193:F202)-F197</f>
        <v>#REF!</v>
      </c>
    </row>
    <row r="204" spans="4:6" ht="12.75" hidden="1">
      <c r="D204" s="61"/>
      <c r="E204" s="138"/>
      <c r="F204" s="138"/>
    </row>
    <row r="205" spans="4:6" ht="12.75" customHeight="1" hidden="1">
      <c r="D205" s="61"/>
      <c r="E205" s="138"/>
      <c r="F205" s="138"/>
    </row>
    <row r="206" spans="4:6" ht="12.75" hidden="1">
      <c r="D206" s="61"/>
      <c r="E206" s="138"/>
      <c r="F206" s="138"/>
    </row>
    <row r="207" spans="1:2" ht="12.75" hidden="1">
      <c r="A207" s="137" t="e">
        <f>F203*12</f>
        <v>#REF!</v>
      </c>
      <c r="B207" s="9" t="s">
        <v>217</v>
      </c>
    </row>
    <row r="208" spans="1:6" ht="12.75" hidden="1">
      <c r="A208" s="137" t="e">
        <f>(F193+F194+F195+F197+F198+F199+F200+F201+F202)*12</f>
        <v>#REF!</v>
      </c>
      <c r="B208" s="139" t="s">
        <v>218</v>
      </c>
      <c r="F208" s="140"/>
    </row>
    <row r="209" spans="1:3" ht="12.75" hidden="1">
      <c r="A209" s="141"/>
      <c r="B209" s="141"/>
      <c r="C209" s="141"/>
    </row>
    <row r="210" ht="12.75" hidden="1">
      <c r="A210" t="s">
        <v>219</v>
      </c>
    </row>
    <row r="211" ht="12.75" hidden="1">
      <c r="A211" t="s">
        <v>220</v>
      </c>
    </row>
    <row r="212" ht="12.75" hidden="1"/>
    <row r="213" ht="17.25">
      <c r="A213" s="5" t="s">
        <v>221</v>
      </c>
    </row>
    <row r="214" spans="1:8" ht="68.25">
      <c r="A214" s="108" t="s">
        <v>206</v>
      </c>
      <c r="B214" s="108" t="s">
        <v>222</v>
      </c>
      <c r="C214" s="108" t="s">
        <v>208</v>
      </c>
      <c r="D214" s="110" t="s">
        <v>209</v>
      </c>
      <c r="E214" s="108" t="s">
        <v>223</v>
      </c>
      <c r="F214" s="142" t="s">
        <v>211</v>
      </c>
      <c r="G214" s="108" t="s">
        <v>224</v>
      </c>
      <c r="H214" s="143" t="s">
        <v>225</v>
      </c>
    </row>
    <row r="215" spans="1:9" ht="13.5">
      <c r="A215" s="26" t="s">
        <v>78</v>
      </c>
      <c r="B215" s="115">
        <v>316060</v>
      </c>
      <c r="C215" s="26">
        <v>5781.44</v>
      </c>
      <c r="D215" s="116">
        <f>B215/C215/9</f>
        <v>6.074226797783558</v>
      </c>
      <c r="E215" s="116">
        <f>G17</f>
        <v>7.3177777777777795</v>
      </c>
      <c r="F215" s="144">
        <f>E215-D215</f>
        <v>1.2435509799942217</v>
      </c>
      <c r="G215" s="145">
        <v>9</v>
      </c>
      <c r="H215" s="146">
        <f>F215*G215</f>
        <v>11.191958819947995</v>
      </c>
      <c r="I215" s="147"/>
    </row>
    <row r="216" spans="1:9" ht="14.25">
      <c r="A216" s="30" t="s">
        <v>109</v>
      </c>
      <c r="B216" s="115">
        <f>C116</f>
        <v>80847.5508</v>
      </c>
      <c r="C216" s="26">
        <f>B10</f>
        <v>8891</v>
      </c>
      <c r="D216" s="116">
        <f>B216/C216/12</f>
        <v>0.7577658193679001</v>
      </c>
      <c r="E216" s="116">
        <f>G18</f>
        <v>0.7000000000000001</v>
      </c>
      <c r="F216" s="144">
        <f>E216-D216</f>
        <v>-0.05776581936790004</v>
      </c>
      <c r="G216" s="145">
        <v>12</v>
      </c>
      <c r="H216" s="117">
        <f>F216*G216</f>
        <v>-0.6931898324148005</v>
      </c>
      <c r="I216" s="147"/>
    </row>
    <row r="217" spans="1:9" ht="13.5">
      <c r="A217" s="26" t="s">
        <v>127</v>
      </c>
      <c r="B217" s="115">
        <f>C142</f>
        <v>103636.34240000004</v>
      </c>
      <c r="C217" s="26">
        <v>6673.7</v>
      </c>
      <c r="D217" s="116">
        <f>B217/C217/12</f>
        <v>1.2940890160880276</v>
      </c>
      <c r="E217" s="116">
        <f>G19</f>
        <v>1.4600000000000002</v>
      </c>
      <c r="F217" s="144">
        <f>E217-D217</f>
        <v>0.16591098391197256</v>
      </c>
      <c r="G217" s="145">
        <v>12</v>
      </c>
      <c r="H217" s="117">
        <f>F217*G217</f>
        <v>1.9909318069436708</v>
      </c>
      <c r="I217" s="147"/>
    </row>
    <row r="218" spans="1:9" ht="46.5" customHeight="1">
      <c r="A218" s="148" t="s">
        <v>226</v>
      </c>
      <c r="B218" s="149">
        <v>79316</v>
      </c>
      <c r="C218" s="31">
        <v>5781.44</v>
      </c>
      <c r="D218" s="150">
        <v>13.72</v>
      </c>
      <c r="E218" s="150">
        <f>G20</f>
        <v>21.45777777777778</v>
      </c>
      <c r="F218" s="144">
        <f>E218-D218</f>
        <v>7.737777777777778</v>
      </c>
      <c r="G218" s="145">
        <v>9</v>
      </c>
      <c r="H218" s="117">
        <v>69.65</v>
      </c>
      <c r="I218" s="147"/>
    </row>
    <row r="219" spans="1:8" ht="21" customHeight="1">
      <c r="A219" s="148" t="s">
        <v>227</v>
      </c>
      <c r="B219" s="149">
        <v>356190</v>
      </c>
      <c r="C219" s="31">
        <v>6673.7</v>
      </c>
      <c r="D219" s="150">
        <f>B219/C219/3</f>
        <v>17.790730779028127</v>
      </c>
      <c r="E219" s="150">
        <f>B28</f>
        <v>13.89</v>
      </c>
      <c r="F219" s="144">
        <f>E219-D219</f>
        <v>-3.9007307790281267</v>
      </c>
      <c r="G219" s="145">
        <v>3</v>
      </c>
      <c r="H219" s="117">
        <f>F219*G219</f>
        <v>-11.70219233708438</v>
      </c>
    </row>
    <row r="220" spans="1:8" ht="13.5">
      <c r="A220" s="26" t="s">
        <v>216</v>
      </c>
      <c r="B220" s="115">
        <f>C100</f>
        <v>68355.184</v>
      </c>
      <c r="C220" s="26">
        <f>B10</f>
        <v>8891</v>
      </c>
      <c r="D220" s="116">
        <f>B220/C220/12</f>
        <v>0.6406776890488508</v>
      </c>
      <c r="E220" s="116">
        <f>G24</f>
        <v>0.855</v>
      </c>
      <c r="F220" s="144">
        <f>E220-D220</f>
        <v>0.21432231095114918</v>
      </c>
      <c r="G220" s="145">
        <v>12</v>
      </c>
      <c r="H220" s="117">
        <f>F220*G220</f>
        <v>2.57186773141379</v>
      </c>
    </row>
    <row r="221" spans="1:8" ht="13.5">
      <c r="A221" s="36" t="s">
        <v>21</v>
      </c>
      <c r="B221" s="115">
        <v>425938</v>
      </c>
      <c r="C221" s="26">
        <f>B10</f>
        <v>8891</v>
      </c>
      <c r="D221" s="116">
        <f>B221/C221/12</f>
        <v>3.992220597608068</v>
      </c>
      <c r="E221" s="116">
        <f>G21</f>
        <v>3.1166666666666667</v>
      </c>
      <c r="F221" s="144">
        <f>E221-D221</f>
        <v>-0.8755539309414013</v>
      </c>
      <c r="G221" s="145">
        <v>12</v>
      </c>
      <c r="H221" s="117">
        <f>F221*G221</f>
        <v>-10.506647171296816</v>
      </c>
    </row>
    <row r="222" spans="1:8" ht="13.5">
      <c r="A222" s="26" t="s">
        <v>141</v>
      </c>
      <c r="B222" s="115">
        <f>B200</f>
        <v>31636.533000000003</v>
      </c>
      <c r="C222" s="26">
        <v>6673.7</v>
      </c>
      <c r="D222" s="116">
        <f>B222/C222/12</f>
        <v>0.3950398954103422</v>
      </c>
      <c r="E222" s="116">
        <f>G22</f>
        <v>0.395</v>
      </c>
      <c r="F222" s="144">
        <f>E222-D222</f>
        <v>-3.989541034216115E-05</v>
      </c>
      <c r="G222" s="145">
        <v>12</v>
      </c>
      <c r="H222" s="117">
        <f>F222*G222</f>
        <v>-0.00047874492410593383</v>
      </c>
    </row>
    <row r="223" spans="1:8" ht="27.75">
      <c r="A223" s="129" t="s">
        <v>23</v>
      </c>
      <c r="B223" s="115">
        <f>B201</f>
        <v>84587.5</v>
      </c>
      <c r="C223" s="26">
        <f>B10</f>
        <v>8891</v>
      </c>
      <c r="D223" s="116">
        <f>B223/C223/12</f>
        <v>0.7928195178645071</v>
      </c>
      <c r="E223" s="116">
        <f>G23</f>
        <v>0.27</v>
      </c>
      <c r="F223" s="144">
        <f>E223-D223</f>
        <v>-0.5228195178645071</v>
      </c>
      <c r="G223" s="145">
        <v>12</v>
      </c>
      <c r="H223" s="117">
        <f>F223*G223</f>
        <v>-6.2738342143740855</v>
      </c>
    </row>
    <row r="224" spans="1:8" ht="13.5">
      <c r="A224" s="132" t="s">
        <v>25</v>
      </c>
      <c r="B224" s="133">
        <f>C162</f>
        <v>0</v>
      </c>
      <c r="C224" s="134">
        <f>B10</f>
        <v>8891</v>
      </c>
      <c r="D224" s="116">
        <f>B224/C224/12</f>
        <v>0</v>
      </c>
      <c r="E224" s="116">
        <f>G25</f>
        <v>0.10000000000000002</v>
      </c>
      <c r="F224" s="144">
        <f>E224-D224</f>
        <v>0.10000000000000002</v>
      </c>
      <c r="G224" s="151">
        <v>12</v>
      </c>
      <c r="H224" s="152">
        <f>F224*G224</f>
        <v>1.2000000000000002</v>
      </c>
    </row>
    <row r="225" spans="4:8" ht="13.5">
      <c r="D225" s="153">
        <f>SUM(D215:D224)</f>
        <v>45.457570112199384</v>
      </c>
      <c r="E225" s="154">
        <f>SUM(E215:E224)</f>
        <v>49.562222222222225</v>
      </c>
      <c r="F225" s="155">
        <f>SUM(F215:F224)</f>
        <v>4.104652110022845</v>
      </c>
      <c r="G225" s="156"/>
      <c r="H225" s="157">
        <f>SUM(H215:H224)</f>
        <v>57.42841605821127</v>
      </c>
    </row>
    <row r="226" spans="4:6" ht="13.5">
      <c r="D226" s="61"/>
      <c r="E226" s="138"/>
      <c r="F226" s="138"/>
    </row>
    <row r="227" spans="1:2" ht="13.5">
      <c r="A227" s="154">
        <f>H225</f>
        <v>57.42841605821127</v>
      </c>
      <c r="B227" s="9" t="s">
        <v>228</v>
      </c>
    </row>
    <row r="228" spans="1:3" ht="15.75" customHeight="1">
      <c r="A228" s="138"/>
      <c r="B228" s="139"/>
      <c r="C228" s="141"/>
    </row>
    <row r="229" spans="1:4" ht="12.75" customHeight="1" hidden="1">
      <c r="A229" s="6" t="s">
        <v>229</v>
      </c>
      <c r="B229" s="6"/>
      <c r="C229" s="6"/>
      <c r="D229" s="6"/>
    </row>
    <row r="230" spans="1:4" ht="12.75" hidden="1">
      <c r="A230" s="47" t="s">
        <v>230</v>
      </c>
      <c r="B230" s="47"/>
      <c r="C230" s="97"/>
      <c r="D230" s="97"/>
    </row>
    <row r="231" spans="1:4" ht="12.75" hidden="1">
      <c r="A231" s="47" t="s">
        <v>231</v>
      </c>
      <c r="B231" s="47">
        <f>B8</f>
        <v>6673.7</v>
      </c>
      <c r="C231" s="97"/>
      <c r="D231" s="97"/>
    </row>
    <row r="232" spans="1:4" ht="12.75" hidden="1">
      <c r="A232" s="62" t="s">
        <v>232</v>
      </c>
      <c r="B232" s="47" t="e">
        <f>#REF!</f>
        <v>#REF!</v>
      </c>
      <c r="C232" s="97"/>
      <c r="D232" s="97"/>
    </row>
    <row r="233" spans="1:4" ht="12.75" hidden="1">
      <c r="A233" s="62" t="s">
        <v>233</v>
      </c>
      <c r="B233" s="47" t="e">
        <f>#REF!</f>
        <v>#REF!</v>
      </c>
      <c r="C233" s="97"/>
      <c r="D233" s="97"/>
    </row>
    <row r="234" spans="1:4" ht="12.75" hidden="1">
      <c r="A234" s="62" t="s">
        <v>234</v>
      </c>
      <c r="B234" s="44">
        <f>C64</f>
        <v>1260320.8724800001</v>
      </c>
      <c r="C234" s="97"/>
      <c r="D234" s="97"/>
    </row>
    <row r="235" spans="1:4" ht="12.75" hidden="1">
      <c r="A235" s="62" t="s">
        <v>235</v>
      </c>
      <c r="B235" s="158">
        <v>0.6</v>
      </c>
      <c r="C235" s="97"/>
      <c r="D235" s="97"/>
    </row>
    <row r="236" spans="1:4" ht="12.75" hidden="1">
      <c r="A236" s="62" t="s">
        <v>236</v>
      </c>
      <c r="B236" s="44">
        <v>17199.4</v>
      </c>
      <c r="C236" s="97"/>
      <c r="D236" s="97"/>
    </row>
    <row r="237" spans="1:4" ht="12.75" hidden="1">
      <c r="A237" s="62" t="s">
        <v>237</v>
      </c>
      <c r="B237" s="44" t="e">
        <f>(B236/76.34)*#REF!</f>
        <v>#REF!</v>
      </c>
      <c r="C237" s="131"/>
      <c r="D237" s="97"/>
    </row>
    <row r="238" spans="1:4" ht="12.75" hidden="1">
      <c r="A238" s="62" t="s">
        <v>238</v>
      </c>
      <c r="B238" s="159">
        <f>1658365/6321.32/12</f>
        <v>21.86206098304363</v>
      </c>
      <c r="C238" s="97"/>
      <c r="D238" s="97"/>
    </row>
    <row r="239" spans="1:4" ht="12.75" hidden="1">
      <c r="A239" s="62" t="s">
        <v>239</v>
      </c>
      <c r="B239" s="159">
        <f>B238*0.6</f>
        <v>13.117236589826177</v>
      </c>
      <c r="C239" s="97"/>
      <c r="D239" s="97"/>
    </row>
    <row r="240" spans="1:4" ht="12.75" hidden="1">
      <c r="A240" s="160" t="s">
        <v>240</v>
      </c>
      <c r="B240" s="160"/>
      <c r="C240" s="6"/>
      <c r="D240" s="6"/>
    </row>
    <row r="241" ht="17.25">
      <c r="A241" s="5" t="s">
        <v>241</v>
      </c>
    </row>
    <row r="242" spans="1:8" ht="68.25">
      <c r="A242" s="108" t="s">
        <v>206</v>
      </c>
      <c r="B242" s="108" t="s">
        <v>222</v>
      </c>
      <c r="C242" s="108" t="s">
        <v>208</v>
      </c>
      <c r="D242" s="110" t="s">
        <v>209</v>
      </c>
      <c r="E242" s="108" t="s">
        <v>223</v>
      </c>
      <c r="F242" s="142" t="s">
        <v>211</v>
      </c>
      <c r="G242" s="108" t="s">
        <v>224</v>
      </c>
      <c r="H242" s="143" t="s">
        <v>225</v>
      </c>
    </row>
    <row r="243" spans="1:9" ht="14.25">
      <c r="A243" s="30" t="s">
        <v>109</v>
      </c>
      <c r="B243" s="115">
        <f>B216</f>
        <v>80847.5508</v>
      </c>
      <c r="C243" s="26">
        <f>C216</f>
        <v>8891</v>
      </c>
      <c r="D243" s="116">
        <f>B243/C243/12</f>
        <v>0.7577658193679001</v>
      </c>
      <c r="E243" s="116">
        <f>E216</f>
        <v>0.7000000000000001</v>
      </c>
      <c r="F243" s="144">
        <f>E243-D243</f>
        <v>-0.05776581936790004</v>
      </c>
      <c r="G243" s="145">
        <v>12</v>
      </c>
      <c r="H243" s="117">
        <f>F243*G243</f>
        <v>-0.6931898324148005</v>
      </c>
      <c r="I243" s="147"/>
    </row>
    <row r="244" spans="1:9" ht="13.5">
      <c r="A244" s="26" t="s">
        <v>127</v>
      </c>
      <c r="B244" s="115">
        <f>B217</f>
        <v>103636.34240000004</v>
      </c>
      <c r="C244" s="26">
        <f>C217</f>
        <v>6673.7</v>
      </c>
      <c r="D244" s="116">
        <f>B244/C244/12</f>
        <v>1.2940890160880276</v>
      </c>
      <c r="E244" s="116">
        <f>E217</f>
        <v>1.4600000000000002</v>
      </c>
      <c r="F244" s="144">
        <f>E244-D244</f>
        <v>0.16591098391197256</v>
      </c>
      <c r="G244" s="145">
        <v>12</v>
      </c>
      <c r="H244" s="117">
        <f>F244*G244</f>
        <v>1.9909318069436708</v>
      </c>
      <c r="I244" s="147"/>
    </row>
    <row r="245" spans="1:9" ht="41.25">
      <c r="A245" s="148" t="s">
        <v>242</v>
      </c>
      <c r="B245" s="149">
        <v>66101</v>
      </c>
      <c r="C245" s="31">
        <v>892.26</v>
      </c>
      <c r="D245" s="150">
        <v>6.17</v>
      </c>
      <c r="E245" s="150">
        <f>G29</f>
        <v>12.878888888888888</v>
      </c>
      <c r="F245" s="144">
        <f>E245-D245</f>
        <v>6.708888888888888</v>
      </c>
      <c r="G245" s="145">
        <v>9</v>
      </c>
      <c r="H245" s="117">
        <v>41.83</v>
      </c>
      <c r="I245" s="147"/>
    </row>
    <row r="246" spans="1:8" ht="14.25">
      <c r="A246" s="148" t="s">
        <v>227</v>
      </c>
      <c r="B246" s="149">
        <f>B219</f>
        <v>356190</v>
      </c>
      <c r="C246" s="31">
        <f>C219</f>
        <v>6673.7</v>
      </c>
      <c r="D246" s="150">
        <f>B246/C246/3</f>
        <v>17.790730779028127</v>
      </c>
      <c r="E246" s="150">
        <f>E219</f>
        <v>13.89</v>
      </c>
      <c r="F246" s="144">
        <f>E246-D246</f>
        <v>-3.9007307790281267</v>
      </c>
      <c r="G246" s="145">
        <v>3</v>
      </c>
      <c r="H246" s="117">
        <f>F246*G246</f>
        <v>-11.70219233708438</v>
      </c>
    </row>
    <row r="247" spans="1:8" ht="13.5">
      <c r="A247" s="26" t="s">
        <v>216</v>
      </c>
      <c r="B247" s="115">
        <f>B220</f>
        <v>68355.184</v>
      </c>
      <c r="C247" s="26">
        <f>C220</f>
        <v>8891</v>
      </c>
      <c r="D247" s="116">
        <f>B247/C247/12</f>
        <v>0.6406776890488508</v>
      </c>
      <c r="E247" s="116">
        <f>E220</f>
        <v>0.855</v>
      </c>
      <c r="F247" s="144">
        <f>E247-D247</f>
        <v>0.21432231095114918</v>
      </c>
      <c r="G247" s="145">
        <v>12</v>
      </c>
      <c r="H247" s="117">
        <f>F247*G247</f>
        <v>2.57186773141379</v>
      </c>
    </row>
    <row r="248" spans="1:8" ht="13.5">
      <c r="A248" s="36" t="s">
        <v>21</v>
      </c>
      <c r="B248" s="115">
        <f>B221</f>
        <v>425938</v>
      </c>
      <c r="C248" s="26">
        <f>C221</f>
        <v>8891</v>
      </c>
      <c r="D248" s="116">
        <f>B248/C248/12</f>
        <v>3.992220597608068</v>
      </c>
      <c r="E248" s="116">
        <f>E221</f>
        <v>3.1166666666666667</v>
      </c>
      <c r="F248" s="144">
        <f>E248-D248</f>
        <v>-0.8755539309414013</v>
      </c>
      <c r="G248" s="145">
        <v>12</v>
      </c>
      <c r="H248" s="117">
        <f>F248*G248</f>
        <v>-10.506647171296816</v>
      </c>
    </row>
    <row r="249" spans="1:8" ht="13.5">
      <c r="A249" s="26" t="s">
        <v>141</v>
      </c>
      <c r="B249" s="115">
        <f>B222</f>
        <v>31636.533000000003</v>
      </c>
      <c r="C249" s="26">
        <f>C222</f>
        <v>6673.7</v>
      </c>
      <c r="D249" s="116">
        <f>B249/C249/12</f>
        <v>0.3950398954103422</v>
      </c>
      <c r="E249" s="116">
        <f>E222</f>
        <v>0.395</v>
      </c>
      <c r="F249" s="144">
        <f>E249-D249</f>
        <v>-3.989541034216115E-05</v>
      </c>
      <c r="G249" s="145">
        <v>12</v>
      </c>
      <c r="H249" s="117">
        <f>F249*G249</f>
        <v>-0.00047874492410593383</v>
      </c>
    </row>
    <row r="250" spans="1:8" ht="27.75">
      <c r="A250" s="129" t="s">
        <v>23</v>
      </c>
      <c r="B250" s="115">
        <f>B223</f>
        <v>84587.5</v>
      </c>
      <c r="C250" s="26">
        <f>C223</f>
        <v>8891</v>
      </c>
      <c r="D250" s="116">
        <f>B250/C250/12</f>
        <v>0.7928195178645071</v>
      </c>
      <c r="E250" s="116">
        <f>E223</f>
        <v>0.27</v>
      </c>
      <c r="F250" s="144">
        <f>E250-D250</f>
        <v>-0.5228195178645071</v>
      </c>
      <c r="G250" s="145">
        <v>12</v>
      </c>
      <c r="H250" s="117">
        <f>F250*G250</f>
        <v>-6.2738342143740855</v>
      </c>
    </row>
    <row r="251" spans="1:8" ht="13.5">
      <c r="A251" s="132" t="s">
        <v>25</v>
      </c>
      <c r="B251" s="133">
        <f>B224</f>
        <v>0</v>
      </c>
      <c r="C251" s="134">
        <f>C224</f>
        <v>8891</v>
      </c>
      <c r="D251" s="116">
        <f>B251/C251/12</f>
        <v>0</v>
      </c>
      <c r="E251" s="116">
        <f>E224</f>
        <v>0.10000000000000002</v>
      </c>
      <c r="F251" s="144">
        <f>E251-D251</f>
        <v>0.10000000000000002</v>
      </c>
      <c r="G251" s="151">
        <v>12</v>
      </c>
      <c r="H251" s="152">
        <f>F251*G251</f>
        <v>1.2000000000000002</v>
      </c>
    </row>
    <row r="252" spans="4:8" ht="13.5">
      <c r="D252" s="153">
        <v>31.84</v>
      </c>
      <c r="E252" s="154">
        <f>SUM(E243:E251)</f>
        <v>33.665555555555564</v>
      </c>
      <c r="F252" s="155">
        <f>SUM(F243:F251)</f>
        <v>1.8322122411397328</v>
      </c>
      <c r="G252" s="156"/>
      <c r="H252" s="157">
        <v>18.41</v>
      </c>
    </row>
    <row r="253" spans="4:6" ht="13.5">
      <c r="D253" s="61"/>
      <c r="E253" s="138"/>
      <c r="F253" s="138"/>
    </row>
    <row r="254" spans="1:2" ht="13.5">
      <c r="A254" s="154">
        <f>H252</f>
        <v>18.41</v>
      </c>
      <c r="B254" s="9" t="s">
        <v>243</v>
      </c>
    </row>
    <row r="255" spans="1:3" ht="13.5">
      <c r="A255" s="138"/>
      <c r="B255" s="139"/>
      <c r="C255" s="141"/>
    </row>
    <row r="256" spans="1:4" ht="13.5">
      <c r="A256" s="97"/>
      <c r="B256" s="97"/>
      <c r="C256" s="6"/>
      <c r="D256" s="6"/>
    </row>
    <row r="257" spans="1:3" ht="13.5">
      <c r="A257" s="9"/>
      <c r="B257" s="9"/>
      <c r="C257" s="9"/>
    </row>
  </sheetData>
  <mergeCells count="12">
    <mergeCell ref="A1:D1"/>
    <mergeCell ref="A3:D3"/>
    <mergeCell ref="A5:D5"/>
    <mergeCell ref="A13:A15"/>
    <mergeCell ref="B13:B14"/>
    <mergeCell ref="C13:C14"/>
    <mergeCell ref="D13:D14"/>
    <mergeCell ref="E13:E14"/>
    <mergeCell ref="F13:F14"/>
    <mergeCell ref="D46:D47"/>
    <mergeCell ref="E46:E47"/>
    <mergeCell ref="F46:G46"/>
  </mergeCells>
  <printOptions/>
  <pageMargins left="0.23611111111111113" right="0.27569444444444446" top="0.30972222222222223" bottom="0.3541666666666667" header="0.5118055555555556" footer="0.5118055555555556"/>
  <pageSetup fitToHeight="2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2013-04-15T09:59:52Z</cp:lastPrinted>
  <dcterms:created xsi:type="dcterms:W3CDTF">2006-09-28T05:33:49Z</dcterms:created>
  <dcterms:modified xsi:type="dcterms:W3CDTF">2013-04-04T12:01:18Z</dcterms:modified>
  <cp:category/>
  <cp:version/>
  <cp:contentType/>
  <cp:contentStatus/>
  <cp:revision>1</cp:revision>
</cp:coreProperties>
</file>