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<sst xmlns="http://schemas.openxmlformats.org/spreadsheetml/2006/main" count="277" uniqueCount="186">
  <si>
    <t xml:space="preserve">ООО "Коммунальная компания "Наш дом" </t>
  </si>
  <si>
    <t>Жилые дома по ул. Красноармейская, 99,101</t>
  </si>
  <si>
    <t>Отчет за 2009год.</t>
  </si>
  <si>
    <t>1. Сведения о домах:</t>
  </si>
  <si>
    <t>Расчет среднего количества кв.метров в месяц</t>
  </si>
  <si>
    <t>Месяц</t>
  </si>
  <si>
    <t>Площадь кв.м.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</si>
  <si>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</si>
  <si>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</si>
  <si>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</si>
  <si>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</si>
  <si>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</si>
  <si>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</si>
  <si>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</si>
  <si>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</si>
  <si>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</si>
  <si>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</si>
  <si>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</si>
  <si>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</si>
  <si>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</si>
  <si>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Среднее в мес.</t>
  </si>
  <si>
    <t>кол-во жилых метров</t>
  </si>
  <si>
    <t>кол-во нежилых метров</t>
  </si>
  <si>
    <t>Итого общая площадь</t>
  </si>
  <si>
    <t>2. Ставки коммунальных платежей действовавших в 2009г.</t>
  </si>
  <si>
    <t>с 1.01.09 по 28.02.09 - 2 месяца.</t>
  </si>
  <si>
    <t>с 1.03.09 по 31.12.09г. - 10 месяцев.</t>
  </si>
  <si>
    <t>Таким образом, средняя ставка коммунальных платежей в 2009году составила:</t>
  </si>
  <si>
    <t>Перечень коммунальных услуг</t>
  </si>
  <si>
    <t>Ставка с 1.01.09-28.02.09 г.</t>
  </si>
  <si>
    <t>Ставка с 1.03.09-31.12.09 г.</t>
  </si>
  <si>
    <t>Средняя ставка за 12 мес.</t>
  </si>
  <si>
    <t>Жилые помещения</t>
  </si>
  <si>
    <t xml:space="preserve">Жилые помещения </t>
  </si>
  <si>
    <t xml:space="preserve">Техническое обслуживание </t>
  </si>
  <si>
    <t xml:space="preserve">Вода+канализация </t>
  </si>
  <si>
    <t>Вывоз бытового мусора</t>
  </si>
  <si>
    <t>Обслуживание лифтов</t>
  </si>
  <si>
    <t>Теплоснабжение</t>
  </si>
  <si>
    <t>Электричество в МОП</t>
  </si>
  <si>
    <t>Текущий ремонт</t>
  </si>
  <si>
    <t>Вывоз крупногабаритного мусора и снега</t>
  </si>
  <si>
    <t>Обслуживание насосов</t>
  </si>
  <si>
    <t>Итого:</t>
  </si>
  <si>
    <t>кроме того, в 2009г. с собственников 99 дома взимались платежи :</t>
  </si>
  <si>
    <t>за домофон</t>
  </si>
  <si>
    <t>35 руб. за квартиру</t>
  </si>
  <si>
    <t>3. Доходы</t>
  </si>
  <si>
    <t>Начислено коммунальных платежей к уплате собственникам дома в 2009г.</t>
  </si>
  <si>
    <t>Оплачено собственниками дома в 2009г.</t>
  </si>
  <si>
    <t>4. Должники</t>
  </si>
  <si>
    <t>Долги собственников на начало 2009г.</t>
  </si>
  <si>
    <t>Долги собственников на конец 2009г.:</t>
  </si>
  <si>
    <t>в том числе крупные по Красноармейской, 99:</t>
  </si>
  <si>
    <t>Голиков В.А. (кв.38)</t>
  </si>
  <si>
    <t>Лобынцева Е.Н. (кв.41)</t>
  </si>
  <si>
    <t>Мульнючкин С.А. (кв.21)</t>
  </si>
  <si>
    <t>Петрунцова С.Ю. (кв.33)</t>
  </si>
  <si>
    <t>Просвиркин А.И. (кв.45)</t>
  </si>
  <si>
    <t>по Красноармейской 101:</t>
  </si>
  <si>
    <t>Вежняева Н.А. (кв.25)</t>
  </si>
  <si>
    <t>Коровина В.И. (кв.38)</t>
  </si>
  <si>
    <t>Репин Н.В. (офис)</t>
  </si>
  <si>
    <t>5. Мероприятия, проведенные по должникам:</t>
  </si>
  <si>
    <t>Произведены рейды по отключению должников от электрической энергии.</t>
  </si>
  <si>
    <t>6. Расходы:</t>
  </si>
  <si>
    <r>
      <t xml:space="preserve"> </t>
    </r>
    <r>
      <rPr>
        <b/>
        <sz val="12"/>
        <color indexed="8"/>
        <rFont val="Calibri"/>
        <family val="2"/>
      </rPr>
      <t>Теплоснабжение</t>
    </r>
  </si>
  <si>
    <t>Для жителей</t>
  </si>
  <si>
    <t>Сумма общего счета</t>
  </si>
  <si>
    <t>Счет-фактура/товарная накладная</t>
  </si>
  <si>
    <t>Сумма</t>
  </si>
  <si>
    <t xml:space="preserve">№1 от 31.01.09 </t>
  </si>
  <si>
    <t>№4 от 28.02.09</t>
  </si>
  <si>
    <t>№7 от 31.03.09</t>
  </si>
  <si>
    <t>№11 от 30.04.09</t>
  </si>
  <si>
    <t>№272 от 03.08.09 (откл. В тепловых камерах для опрессовки отопления)</t>
  </si>
  <si>
    <t>№С919010999/1046320 от 30.09.09</t>
  </si>
  <si>
    <t>№С919012648/1046320 от 30.10.09</t>
  </si>
  <si>
    <t>№С919013669/1046320 от 30.11.09</t>
  </si>
  <si>
    <t>№С919015949/1046320 от 30.12.09</t>
  </si>
  <si>
    <t>итого с 1% (*)</t>
  </si>
  <si>
    <t>Вода+канализация для населения</t>
  </si>
  <si>
    <t>№1 от 31.01.09</t>
  </si>
  <si>
    <t xml:space="preserve">№5 от 28.02.09 </t>
  </si>
  <si>
    <t>№8 от 31.03.09</t>
  </si>
  <si>
    <t>№10 от 30.04.09</t>
  </si>
  <si>
    <t>№32/31423 от 27.05.09</t>
  </si>
  <si>
    <t>№32/39679 от 29.06.09</t>
  </si>
  <si>
    <t>№32/46989 от 30.07.09</t>
  </si>
  <si>
    <t>№32/53790 от 28.08.09</t>
  </si>
  <si>
    <t>№32/60999 от 30.09.09</t>
  </si>
  <si>
    <t>№32/67420 от 28.10.09</t>
  </si>
  <si>
    <t>№32/74772 от 30.11.09</t>
  </si>
  <si>
    <t>№32/82375 от 31.12.09</t>
  </si>
  <si>
    <t>Вода+канализация в офисах</t>
  </si>
  <si>
    <t>за год по счетам</t>
  </si>
  <si>
    <t xml:space="preserve">Эл./э в МОП </t>
  </si>
  <si>
    <t>Сумма, руб.</t>
  </si>
  <si>
    <t>кВт</t>
  </si>
  <si>
    <t>Вывоз ТБО</t>
  </si>
  <si>
    <t>№2124 от 31.01.09</t>
  </si>
  <si>
    <t>№6493 от 28.02.09</t>
  </si>
  <si>
    <t>№17582 от 31.03.09</t>
  </si>
  <si>
    <t>№22524 от 30.04.09</t>
  </si>
  <si>
    <t>№12 от 17.04.09 (дератизация )</t>
  </si>
  <si>
    <t>№26935 от 31.05.09</t>
  </si>
  <si>
    <t>№31217 от 30.06.09</t>
  </si>
  <si>
    <t>№20 от 01.06.09 (дератизация)</t>
  </si>
  <si>
    <t>№36021 от 31.07.09</t>
  </si>
  <si>
    <t>№39535 от 31.08.09</t>
  </si>
  <si>
    <t>№43100 от 30.09.09</t>
  </si>
  <si>
    <t>№48716 от 31.10.09</t>
  </si>
  <si>
    <t>№52248 от 30.11.09</t>
  </si>
  <si>
    <t>№55780 от 31.12.09</t>
  </si>
  <si>
    <t>№5 от 11.03.09 (вывоз елок)</t>
  </si>
  <si>
    <t>№57 от 15.07.09</t>
  </si>
  <si>
    <t>№108 от 26.08.09</t>
  </si>
  <si>
    <t>№117 от 23.09.09</t>
  </si>
  <si>
    <t>№149 от 11.12.09</t>
  </si>
  <si>
    <t>№159 от 28.12.09</t>
  </si>
  <si>
    <t>декабрь</t>
  </si>
  <si>
    <t>№168 от 31.12.09 (вывоз снега)</t>
  </si>
  <si>
    <t>Обслуживание лифта</t>
  </si>
  <si>
    <t>№9 от 31.01.09</t>
  </si>
  <si>
    <t>№55 от 28.02.09</t>
  </si>
  <si>
    <t>№44 от 19.02.09 (освидетельств. лифтов)</t>
  </si>
  <si>
    <t>№110 от 31.03.09</t>
  </si>
  <si>
    <t>№162 от 30.04.09</t>
  </si>
  <si>
    <t>№216 от 31.05.06</t>
  </si>
  <si>
    <t>№276 от 30.06.09</t>
  </si>
  <si>
    <t>№337 от 31.07.09</t>
  </si>
  <si>
    <t>№406 от 31.08.09</t>
  </si>
  <si>
    <t>№471 от 30.09.09</t>
  </si>
  <si>
    <t>№542 от 31.10.09</t>
  </si>
  <si>
    <t>№604 от 30.11.09</t>
  </si>
  <si>
    <t>№2906 от 12.11.09(страхование лифтов)</t>
  </si>
  <si>
    <t>№661 от 31.12.09</t>
  </si>
  <si>
    <t>№3339 от 14.12.09(страхование лифтов)</t>
  </si>
  <si>
    <t xml:space="preserve">Текущий ремонт </t>
  </si>
  <si>
    <t xml:space="preserve">Июнь </t>
  </si>
  <si>
    <t xml:space="preserve">№49 от 19.06.09 (переврезка труб-да подпитки в сис-ме отоп.) </t>
  </si>
  <si>
    <t>Итого с 1% (*)</t>
  </si>
  <si>
    <t>Текущий ремонт (Красноармейская 99)</t>
  </si>
  <si>
    <t xml:space="preserve">№48 от 20.05.09(почтовые ящики) </t>
  </si>
  <si>
    <t>Домофон (в год) с 99 дома.</t>
  </si>
  <si>
    <t>Итого расходов:</t>
  </si>
  <si>
    <t>оставшаяся часть средств направлена:</t>
  </si>
  <si>
    <t>на перерасчет платежей:</t>
  </si>
  <si>
    <t>итого на тех.обслуживание в месяц</t>
  </si>
  <si>
    <t>За счет ставки технического обслуживания оплачиваются расходы по з/п уборщиц, дворников,</t>
  </si>
  <si>
    <t>инженера, сантехника, электрика, разнорабочего, аварийной службы, бухгалтера, юриста, кассира,</t>
  </si>
  <si>
    <t>садовника. Расходные материалы: тряпки, ведра, лопаты, лампочки, кабели, трубы для ремонта,</t>
  </si>
  <si>
    <t xml:space="preserve">инструменты слесарю и электрику, канцтовары, посадочный материал, содержание офиса </t>
  </si>
  <si>
    <t>коммунальной службы, ежегодная аттестация специалистов.</t>
  </si>
  <si>
    <r>
      <t>(*)</t>
    </r>
    <r>
      <rPr>
        <sz val="11"/>
        <color indexed="8"/>
        <rFont val="Calibri"/>
        <family val="2"/>
      </rPr>
      <t>Согласно Постановления президиума Высшего Арбитражного суда РФ №12611/07 от 01.04.08г.</t>
    </r>
  </si>
  <si>
    <t xml:space="preserve">и разъяснений Минфина РФ №03-11-04/2/90 от 06.06.08г. все поступления от предоставленных </t>
  </si>
  <si>
    <t xml:space="preserve">коммунальных услуг собственникам, которые ТСЖ (управляющие компании) сами не производят, </t>
  </si>
  <si>
    <t>а покупают у специализированных организаций (например: поставка тепла, воды, э/э, вывоз ТБО</t>
  </si>
  <si>
    <t xml:space="preserve">и т.д.) все равно являются доходом ТСЖ (управл. компании) и как выручка подлежат налогообложению; </t>
  </si>
  <si>
    <t xml:space="preserve">в нашем случае - минимальным налогом в размере 1%. Таким образом, стоимость коммунальных услуг, </t>
  </si>
  <si>
    <t xml:space="preserve">приобретенных у специализированных организаций, увеличивается на 1%. При перерасчете сумма </t>
  </si>
  <si>
    <t xml:space="preserve">расходов по статьям затрат сразу указана увеличенной на 1%, который управляющая компания </t>
  </si>
  <si>
    <t>перечисляет в виде минимального налога в бюджет.</t>
  </si>
  <si>
    <t>7. Перерасчет за 2009год.</t>
  </si>
  <si>
    <t>Статьи затрат</t>
  </si>
  <si>
    <t>Стоимость фактических расходов за 2009г.</t>
  </si>
  <si>
    <t>метры</t>
  </si>
  <si>
    <t>ставка-факт</t>
  </si>
  <si>
    <t>ставка-план</t>
  </si>
  <si>
    <t>пересчет за 1 кв.м. в мес.</t>
  </si>
  <si>
    <t>Вода+канализация</t>
  </si>
  <si>
    <t>Обслуживание лифт</t>
  </si>
  <si>
    <t>Эл/э в МОП</t>
  </si>
  <si>
    <t>Ремонт</t>
  </si>
  <si>
    <t>Текущий ремонт Красн.99</t>
  </si>
  <si>
    <t>к возврату с 1 метра за год (без счетчиков воды)</t>
  </si>
  <si>
    <t>Красноармейская 99</t>
  </si>
  <si>
    <t>к возврату с 1 метра за год (имеющим счетчики воды) Красноармейская 99</t>
  </si>
  <si>
    <t>к возврату с 1 метра за год (без счетчиков воды) Красноармейская 101</t>
  </si>
  <si>
    <t>к возврату с 1 метра за год (имеющим счетчики воды) Красноармейская 101</t>
  </si>
  <si>
    <t xml:space="preserve">1)Для расчета ставки вода+канализация взяты кв.метры жилых помещений  по ул. Красноармейской 99,101,103 и </t>
  </si>
  <si>
    <t>Никитинская 22, без счетчиков ХВС и ГВС и без кв.метров помещений, по которым уже произведены перерасчеты.</t>
  </si>
  <si>
    <t>2)Для расчета ставки Вывоз ТБО взяты кв.метры жилых домов по ул.Красноармейская 99,101,103 и Никитинская 22.</t>
  </si>
  <si>
    <t xml:space="preserve">Директор </t>
  </si>
  <si>
    <t>ООО "Коммунальная компания "Наш дом"</t>
  </si>
  <si>
    <t>Бобровская Ю.А.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</si>
</sst>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&quot;р.&quot;"/>
    <numFmt numFmtId="167" formatCode="#,##0.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4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20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9" fillId="0" borderId="0" xfId="0" applyFont="1" applyAlignment="1">
      <alignment/>
    </xf>
    <xf numFmtId="164" fontId="21" fillId="0" borderId="10" xfId="0" applyFont="1" applyBorder="1" applyAlignment="1">
      <alignment horizontal="center"/>
    </xf>
    <xf numFmtId="164" fontId="21" fillId="0" borderId="0" xfId="0" applyFont="1" applyAlignment="1">
      <alignment/>
    </xf>
    <xf numFmtId="164" fontId="22" fillId="0" borderId="11" xfId="0" applyFont="1" applyBorder="1" applyAlignment="1">
      <alignment horizontal="center"/>
    </xf>
    <xf numFmtId="164" fontId="22" fillId="0" borderId="0" xfId="0" applyFont="1" applyAlignment="1">
      <alignment/>
    </xf>
    <xf numFmtId="164" fontId="0" fillId="0" borderId="11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9" fillId="0" borderId="13" xfId="0" applyFont="1" applyBorder="1" applyAlignment="1">
      <alignment horizontal="center"/>
    </xf>
    <xf numFmtId="164" fontId="9" fillId="0" borderId="14" xfId="0" applyFont="1" applyBorder="1" applyAlignment="1">
      <alignment/>
    </xf>
    <xf numFmtId="164" fontId="9" fillId="0" borderId="15" xfId="0" applyFont="1" applyBorder="1" applyAlignment="1">
      <alignment horizontal="center"/>
    </xf>
    <xf numFmtId="164" fontId="9" fillId="0" borderId="15" xfId="0" applyFont="1" applyBorder="1" applyAlignment="1">
      <alignment horizontal="right"/>
    </xf>
    <xf numFmtId="164" fontId="22" fillId="0" borderId="0" xfId="0" applyFont="1" applyBorder="1" applyAlignment="1">
      <alignment horizontal="right"/>
    </xf>
    <xf numFmtId="164" fontId="0" fillId="0" borderId="11" xfId="0" applyFont="1" applyBorder="1" applyAlignment="1">
      <alignment horizontal="right"/>
    </xf>
    <xf numFmtId="164" fontId="0" fillId="0" borderId="12" xfId="0" applyFont="1" applyBorder="1" applyAlignment="1">
      <alignment horizontal="right"/>
    </xf>
    <xf numFmtId="164" fontId="9" fillId="0" borderId="13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21" fillId="0" borderId="0" xfId="0" applyFont="1" applyAlignment="1">
      <alignment/>
    </xf>
    <xf numFmtId="164" fontId="0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0" fillId="0" borderId="11" xfId="0" applyFont="1" applyBorder="1" applyAlignment="1">
      <alignment horizontal="left" vertical="center" wrapText="1"/>
    </xf>
    <xf numFmtId="165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164" fontId="0" fillId="0" borderId="11" xfId="0" applyFont="1" applyBorder="1" applyAlignment="1">
      <alignment wrapText="1"/>
    </xf>
    <xf numFmtId="164" fontId="9" fillId="0" borderId="13" xfId="0" applyFont="1" applyFill="1" applyBorder="1" applyAlignment="1">
      <alignment/>
    </xf>
    <xf numFmtId="165" fontId="9" fillId="0" borderId="16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Border="1" applyAlignment="1">
      <alignment horizontal="center"/>
    </xf>
    <xf numFmtId="166" fontId="9" fillId="0" borderId="11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11" xfId="0" applyNumberFormat="1" applyBorder="1" applyAlignment="1">
      <alignment/>
    </xf>
    <xf numFmtId="164" fontId="23" fillId="0" borderId="11" xfId="0" applyFont="1" applyBorder="1" applyAlignment="1">
      <alignment/>
    </xf>
    <xf numFmtId="166" fontId="23" fillId="0" borderId="11" xfId="0" applyNumberFormat="1" applyFont="1" applyBorder="1" applyAlignment="1">
      <alignment/>
    </xf>
    <xf numFmtId="164" fontId="23" fillId="0" borderId="11" xfId="0" applyFont="1" applyBorder="1" applyAlignment="1">
      <alignment wrapText="1"/>
    </xf>
    <xf numFmtId="164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ont="1" applyFill="1" applyBorder="1" applyAlignment="1">
      <alignment horizontal="left" wrapText="1"/>
    </xf>
    <xf numFmtId="164" fontId="0" fillId="0" borderId="0" xfId="0" applyAlignment="1">
      <alignment horizontal="left"/>
    </xf>
    <xf numFmtId="164" fontId="9" fillId="0" borderId="11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1" xfId="0" applyFont="1" applyBorder="1" applyAlignment="1">
      <alignment horizontal="center" wrapText="1"/>
    </xf>
    <xf numFmtId="164" fontId="0" fillId="0" borderId="0" xfId="0" applyBorder="1" applyAlignment="1">
      <alignment horizontal="center" vertical="center" wrapText="1"/>
    </xf>
    <xf numFmtId="164" fontId="23" fillId="0" borderId="17" xfId="0" applyFont="1" applyBorder="1" applyAlignment="1">
      <alignment horizontal="center"/>
    </xf>
    <xf numFmtId="166" fontId="23" fillId="0" borderId="17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1" xfId="0" applyNumberFormat="1" applyFont="1" applyBorder="1" applyAlignment="1">
      <alignment wrapText="1"/>
    </xf>
    <xf numFmtId="166" fontId="0" fillId="0" borderId="17" xfId="0" applyNumberFormat="1" applyBorder="1" applyAlignment="1">
      <alignment/>
    </xf>
    <xf numFmtId="166" fontId="9" fillId="0" borderId="17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4" fontId="9" fillId="0" borderId="11" xfId="0" applyFont="1" applyBorder="1" applyAlignment="1">
      <alignment wrapText="1"/>
    </xf>
    <xf numFmtId="166" fontId="0" fillId="0" borderId="0" xfId="0" applyNumberFormat="1" applyAlignment="1">
      <alignment/>
    </xf>
    <xf numFmtId="164" fontId="24" fillId="0" borderId="11" xfId="0" applyFont="1" applyBorder="1" applyAlignment="1">
      <alignment/>
    </xf>
    <xf numFmtId="164" fontId="21" fillId="0" borderId="11" xfId="0" applyFont="1" applyBorder="1" applyAlignment="1">
      <alignment/>
    </xf>
    <xf numFmtId="166" fontId="21" fillId="0" borderId="11" xfId="0" applyNumberFormat="1" applyFont="1" applyBorder="1" applyAlignment="1">
      <alignment/>
    </xf>
    <xf numFmtId="166" fontId="23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9" fillId="0" borderId="11" xfId="0" applyNumberFormat="1" applyFont="1" applyBorder="1" applyAlignment="1">
      <alignment/>
    </xf>
    <xf numFmtId="164" fontId="9" fillId="0" borderId="11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6" fontId="9" fillId="0" borderId="0" xfId="0" applyNumberFormat="1" applyFont="1" applyBorder="1" applyAlignment="1">
      <alignment/>
    </xf>
    <xf numFmtId="164" fontId="24" fillId="0" borderId="11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5" fontId="25" fillId="24" borderId="11" xfId="55" applyNumberFormat="1" applyFont="1" applyFill="1" applyBorder="1">
      <alignment/>
      <protection/>
    </xf>
    <xf numFmtId="166" fontId="26" fillId="0" borderId="11" xfId="55" applyNumberFormat="1" applyFont="1" applyBorder="1" applyAlignment="1">
      <alignment horizontal="right"/>
      <protection/>
    </xf>
    <xf numFmtId="164" fontId="0" fillId="0" borderId="0" xfId="0" applyAlignment="1">
      <alignment wrapText="1"/>
    </xf>
    <xf numFmtId="164" fontId="21" fillId="0" borderId="11" xfId="0" applyFont="1" applyBorder="1" applyAlignment="1">
      <alignment wrapText="1"/>
    </xf>
    <xf numFmtId="164" fontId="22" fillId="0" borderId="11" xfId="0" applyFont="1" applyBorder="1" applyAlignment="1">
      <alignment/>
    </xf>
    <xf numFmtId="164" fontId="9" fillId="0" borderId="0" xfId="0" applyFont="1" applyBorder="1" applyAlignment="1">
      <alignment/>
    </xf>
    <xf numFmtId="164" fontId="27" fillId="0" borderId="11" xfId="0" applyFont="1" applyBorder="1" applyAlignment="1">
      <alignment/>
    </xf>
    <xf numFmtId="166" fontId="0" fillId="0" borderId="0" xfId="0" applyNumberFormat="1" applyBorder="1" applyAlignment="1">
      <alignment/>
    </xf>
    <xf numFmtId="164" fontId="20" fillId="0" borderId="11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4" fontId="19" fillId="0" borderId="11" xfId="0" applyFont="1" applyFill="1" applyBorder="1" applyAlignment="1">
      <alignment/>
    </xf>
    <xf numFmtId="166" fontId="9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20" fillId="0" borderId="0" xfId="0" applyFont="1" applyAlignment="1">
      <alignment/>
    </xf>
    <xf numFmtId="164" fontId="0" fillId="0" borderId="18" xfId="0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7" fontId="0" fillId="0" borderId="18" xfId="0" applyNumberFormat="1" applyFont="1" applyBorder="1" applyAlignment="1">
      <alignment horizontal="center" vertical="center"/>
    </xf>
    <xf numFmtId="164" fontId="0" fillId="0" borderId="19" xfId="0" applyBorder="1" applyAlignment="1">
      <alignment/>
    </xf>
    <xf numFmtId="167" fontId="0" fillId="0" borderId="19" xfId="0" applyNumberFormat="1" applyBorder="1" applyAlignment="1">
      <alignment/>
    </xf>
    <xf numFmtId="164" fontId="0" fillId="0" borderId="20" xfId="0" applyFont="1" applyBorder="1" applyAlignment="1">
      <alignment/>
    </xf>
    <xf numFmtId="165" fontId="0" fillId="0" borderId="20" xfId="0" applyNumberFormat="1" applyBorder="1" applyAlignment="1">
      <alignment/>
    </xf>
    <xf numFmtId="167" fontId="0" fillId="0" borderId="20" xfId="0" applyNumberFormat="1" applyBorder="1" applyAlignment="1">
      <alignment/>
    </xf>
    <xf numFmtId="165" fontId="0" fillId="0" borderId="20" xfId="0" applyNumberFormat="1" applyFont="1" applyBorder="1" applyAlignment="1">
      <alignment/>
    </xf>
    <xf numFmtId="164" fontId="0" fillId="0" borderId="21" xfId="0" applyFont="1" applyFill="1" applyBorder="1" applyAlignment="1">
      <alignment wrapText="1"/>
    </xf>
    <xf numFmtId="165" fontId="0" fillId="0" borderId="21" xfId="0" applyNumberFormat="1" applyBorder="1" applyAlignment="1">
      <alignment/>
    </xf>
    <xf numFmtId="164" fontId="0" fillId="0" borderId="21" xfId="0" applyFont="1" applyBorder="1" applyAlignment="1">
      <alignment/>
    </xf>
    <xf numFmtId="165" fontId="0" fillId="0" borderId="22" xfId="0" applyNumberFormat="1" applyBorder="1" applyAlignment="1">
      <alignment/>
    </xf>
    <xf numFmtId="167" fontId="0" fillId="0" borderId="21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ill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workbookViewId="0" topLeftCell="A4">
      <selection activeCell="A1" sqref="A1"/>
    </sheetView>
  </sheetViews>
  <sheetFormatPr defaultColWidth="9.140625" defaultRowHeight="15"/>
  <cols>
    <col min="1" max="1" width="25.00390625" style="0" customWidth="1"/>
    <col min="2" max="2" width="31.140625" style="0" customWidth="1"/>
    <col min="3" max="3" width="13.00390625" style="0" customWidth="1"/>
    <col min="4" max="4" width="10.7109375" style="0" customWidth="1"/>
    <col min="5" max="5" width="11.28125" style="0" customWidth="1"/>
    <col min="6" max="6" width="6.8515625" style="0" customWidth="1"/>
  </cols>
  <sheetData>
    <row r="1" spans="1:6" ht="17.25">
      <c r="A1" s="1" t="s">
        <v>0</v>
      </c>
      <c r="B1" s="1"/>
      <c r="C1" s="1"/>
      <c r="D1" s="1"/>
      <c r="F1" s="2"/>
    </row>
    <row r="2" spans="1:4" ht="13.5">
      <c r="A2" s="3"/>
      <c r="B2" s="3"/>
      <c r="C2" s="3"/>
      <c r="D2" s="3"/>
    </row>
    <row r="3" spans="1:4" ht="13.5">
      <c r="A3" s="3"/>
      <c r="B3" s="3"/>
      <c r="C3" s="3"/>
      <c r="D3" s="3"/>
    </row>
    <row r="4" spans="1:4" ht="15">
      <c r="A4" s="4" t="s">
        <v>1</v>
      </c>
      <c r="B4" s="4"/>
      <c r="C4" s="4"/>
      <c r="D4" s="4"/>
    </row>
    <row r="6" spans="1:4" ht="15">
      <c r="A6" s="4" t="s">
        <v>2</v>
      </c>
      <c r="B6" s="4"/>
      <c r="C6" s="4"/>
      <c r="D6" s="4"/>
    </row>
    <row r="8" spans="1:2" ht="17.25">
      <c r="A8" s="5" t="s">
        <v>3</v>
      </c>
      <c r="B8" s="6"/>
    </row>
    <row r="9" spans="1:2" ht="17.25">
      <c r="A9" s="5"/>
      <c r="B9" s="6"/>
    </row>
    <row r="10" spans="1:3" ht="17.25">
      <c r="A10" s="7" t="s">
        <v>4</v>
      </c>
      <c r="B10" s="7"/>
      <c r="C10" s="8"/>
    </row>
    <row r="11" spans="1:3" ht="15">
      <c r="A11" s="9" t="s">
        <v>5</v>
      </c>
      <c r="B11" s="9" t="s">
        <v>6</v>
      </c>
      <c r="C11" s="10"/>
    </row>
    <row r="12" spans="1:2" ht="13.5">
      <c r="A12" s="11" t="s">
        <v>7</v>
      </c>
      <c r="B12" s="12">
        <v>9728.9</v>
      </c>
    </row>
    <row r="13" spans="1:2" ht="13.5">
      <c r="A13" s="11" t="s">
        <v>8</v>
      </c>
      <c r="B13" s="12">
        <v>9909.5</v>
      </c>
    </row>
    <row r="14" spans="1:2" ht="13.5">
      <c r="A14" s="11" t="s">
        <v>9</v>
      </c>
      <c r="B14" s="12">
        <v>9904.9</v>
      </c>
    </row>
    <row r="15" spans="1:2" ht="13.5">
      <c r="A15" s="11" t="s">
        <v>10</v>
      </c>
      <c r="B15" s="12">
        <v>9904.9</v>
      </c>
    </row>
    <row r="16" spans="1:2" ht="13.5">
      <c r="A16" s="11" t="s">
        <v>11</v>
      </c>
      <c r="B16" s="12">
        <v>9973.5</v>
      </c>
    </row>
    <row r="17" spans="1:2" ht="13.5">
      <c r="A17" s="11" t="s">
        <v>12</v>
      </c>
      <c r="B17" s="12">
        <v>10029.7</v>
      </c>
    </row>
    <row r="18" spans="1:2" ht="13.5">
      <c r="A18" s="11" t="s">
        <v>13</v>
      </c>
      <c r="B18" s="12">
        <v>10068.2</v>
      </c>
    </row>
    <row r="19" spans="1:2" ht="13.5">
      <c r="A19" s="11" t="s">
        <v>14</v>
      </c>
      <c r="B19" s="12">
        <v>10184.9</v>
      </c>
    </row>
    <row r="20" spans="1:2" ht="13.5">
      <c r="A20" s="11" t="s">
        <v>15</v>
      </c>
      <c r="B20" s="12">
        <v>10264</v>
      </c>
    </row>
    <row r="21" spans="1:2" ht="13.5">
      <c r="A21" s="11" t="s">
        <v>16</v>
      </c>
      <c r="B21" s="12">
        <v>10343.4</v>
      </c>
    </row>
    <row r="22" spans="1:2" ht="13.5">
      <c r="A22" s="11" t="s">
        <v>17</v>
      </c>
      <c r="B22" s="12">
        <v>10328</v>
      </c>
    </row>
    <row r="23" spans="1:2" ht="13.5">
      <c r="A23" s="13" t="s">
        <v>18</v>
      </c>
      <c r="B23" s="14">
        <v>10309.9</v>
      </c>
    </row>
    <row r="24" spans="1:2" ht="13.5">
      <c r="A24" s="15" t="s">
        <v>19</v>
      </c>
      <c r="B24" s="16">
        <f>SUM(B12:B23)</f>
        <v>120949.79999999997</v>
      </c>
    </row>
    <row r="25" spans="1:2" ht="13.5">
      <c r="A25" s="17" t="s">
        <v>20</v>
      </c>
      <c r="B25" s="18">
        <f>B24/12</f>
        <v>10079.149999999998</v>
      </c>
    </row>
    <row r="26" spans="1:2" ht="15">
      <c r="A26" s="4"/>
      <c r="B26" s="19"/>
    </row>
    <row r="27" spans="1:2" ht="13.5">
      <c r="A27" s="11" t="s">
        <v>21</v>
      </c>
      <c r="B27" s="20">
        <v>9088.55</v>
      </c>
    </row>
    <row r="28" spans="1:2" ht="13.5">
      <c r="A28" s="13" t="s">
        <v>22</v>
      </c>
      <c r="B28" s="21">
        <v>990.6</v>
      </c>
    </row>
    <row r="29" spans="1:3" ht="13.5">
      <c r="A29" s="22" t="s">
        <v>23</v>
      </c>
      <c r="B29" s="16">
        <f>B27+B28</f>
        <v>10079.15</v>
      </c>
      <c r="C29" s="23"/>
    </row>
    <row r="30" spans="1:3" ht="13.5">
      <c r="A30" s="24"/>
      <c r="B30" s="24"/>
      <c r="C30" s="23"/>
    </row>
    <row r="32" spans="1:3" ht="17.25">
      <c r="A32" s="5" t="s">
        <v>24</v>
      </c>
      <c r="B32" s="5"/>
      <c r="C32" s="25"/>
    </row>
    <row r="34" spans="1:2" ht="13.5">
      <c r="A34" t="s">
        <v>25</v>
      </c>
      <c r="B34" t="s">
        <v>26</v>
      </c>
    </row>
    <row r="35" ht="13.5">
      <c r="A35" t="s">
        <v>27</v>
      </c>
    </row>
    <row r="37" spans="1:4" ht="14.25" customHeight="1">
      <c r="A37" s="26" t="s">
        <v>28</v>
      </c>
      <c r="B37" s="27" t="s">
        <v>29</v>
      </c>
      <c r="C37" s="26" t="s">
        <v>30</v>
      </c>
      <c r="D37" s="26" t="s">
        <v>31</v>
      </c>
    </row>
    <row r="38" spans="1:4" ht="13.5">
      <c r="A38" s="26"/>
      <c r="B38" s="27"/>
      <c r="C38" s="26"/>
      <c r="D38" s="26"/>
    </row>
    <row r="39" spans="1:4" ht="41.25">
      <c r="A39" s="26"/>
      <c r="B39" s="27" t="s">
        <v>32</v>
      </c>
      <c r="C39" s="26" t="s">
        <v>32</v>
      </c>
      <c r="D39" s="26" t="s">
        <v>33</v>
      </c>
    </row>
    <row r="40" spans="1:4" ht="27.75">
      <c r="A40" s="28" t="s">
        <v>34</v>
      </c>
      <c r="B40" s="29">
        <v>13</v>
      </c>
      <c r="C40" s="30">
        <v>13</v>
      </c>
      <c r="D40" s="31">
        <f>((B40*2)+(C40*10))/12</f>
        <v>13</v>
      </c>
    </row>
    <row r="41" spans="1:4" ht="13.5">
      <c r="A41" s="12" t="s">
        <v>35</v>
      </c>
      <c r="B41" s="31">
        <v>2.12</v>
      </c>
      <c r="C41" s="31">
        <v>3.11</v>
      </c>
      <c r="D41" s="31">
        <f aca="true" t="shared" si="0" ref="D41:D49">((B41*2)+(C41*10))/12</f>
        <v>2.945</v>
      </c>
    </row>
    <row r="42" spans="1:4" ht="13.5">
      <c r="A42" s="12" t="s">
        <v>36</v>
      </c>
      <c r="B42" s="31">
        <v>0.79</v>
      </c>
      <c r="C42" s="31">
        <v>0.88</v>
      </c>
      <c r="D42" s="31">
        <f t="shared" si="0"/>
        <v>0.8650000000000001</v>
      </c>
    </row>
    <row r="43" spans="1:4" ht="13.5">
      <c r="A43" s="12" t="s">
        <v>37</v>
      </c>
      <c r="B43" s="31">
        <v>2.46</v>
      </c>
      <c r="C43" s="31">
        <v>1.9</v>
      </c>
      <c r="D43" s="31">
        <f t="shared" si="0"/>
        <v>1.9933333333333334</v>
      </c>
    </row>
    <row r="44" spans="1:4" ht="13.5">
      <c r="A44" s="12" t="s">
        <v>38</v>
      </c>
      <c r="B44" s="31">
        <v>12.76</v>
      </c>
      <c r="C44" s="31">
        <v>12.16</v>
      </c>
      <c r="D44" s="31">
        <f t="shared" si="0"/>
        <v>12.26</v>
      </c>
    </row>
    <row r="45" spans="1:4" ht="13.5">
      <c r="A45" s="12" t="s">
        <v>39</v>
      </c>
      <c r="B45" s="31">
        <v>1.84</v>
      </c>
      <c r="C45" s="31">
        <v>5.16</v>
      </c>
      <c r="D45" s="31">
        <f t="shared" si="0"/>
        <v>4.6066666666666665</v>
      </c>
    </row>
    <row r="46" spans="1:4" ht="13.5">
      <c r="A46" s="12" t="s">
        <v>40</v>
      </c>
      <c r="B46" s="31">
        <v>1</v>
      </c>
      <c r="C46" s="31">
        <v>0.5</v>
      </c>
      <c r="D46" s="31">
        <f t="shared" si="0"/>
        <v>0.5833333333333334</v>
      </c>
    </row>
    <row r="47" spans="1:4" ht="27.75">
      <c r="A47" s="32" t="s">
        <v>41</v>
      </c>
      <c r="B47" s="29">
        <v>1.2</v>
      </c>
      <c r="C47" s="29">
        <v>0.6</v>
      </c>
      <c r="D47" s="29">
        <f t="shared" si="0"/>
        <v>0.7000000000000001</v>
      </c>
    </row>
    <row r="48" spans="1:4" ht="13.5">
      <c r="A48" s="12" t="s">
        <v>42</v>
      </c>
      <c r="B48" s="31">
        <v>0.18</v>
      </c>
      <c r="C48" s="31">
        <v>0</v>
      </c>
      <c r="D48" s="31">
        <f t="shared" si="0"/>
        <v>0.03</v>
      </c>
    </row>
    <row r="49" spans="1:4" ht="13.5">
      <c r="A49" s="33" t="s">
        <v>43</v>
      </c>
      <c r="B49" s="34">
        <v>35.34</v>
      </c>
      <c r="C49" s="34">
        <f>SUM(C40:C48)</f>
        <v>37.31</v>
      </c>
      <c r="D49" s="35">
        <f t="shared" si="0"/>
        <v>36.98166666666667</v>
      </c>
    </row>
    <row r="50" spans="1:4" ht="13.5">
      <c r="A50" s="36"/>
      <c r="B50" s="37"/>
      <c r="C50" s="37"/>
      <c r="D50" s="37"/>
    </row>
    <row r="51" ht="13.5">
      <c r="A51" t="s">
        <v>44</v>
      </c>
    </row>
    <row r="52" spans="1:2" ht="13.5">
      <c r="A52" s="12" t="s">
        <v>45</v>
      </c>
      <c r="B52" s="12" t="s">
        <v>46</v>
      </c>
    </row>
    <row r="54" ht="17.25">
      <c r="A54" s="5" t="s">
        <v>47</v>
      </c>
    </row>
    <row r="56" spans="1:2" ht="54.75">
      <c r="A56" s="32" t="s">
        <v>48</v>
      </c>
      <c r="B56" s="38">
        <f>2254228.77+2219762.17</f>
        <v>4473990.9399999995</v>
      </c>
    </row>
    <row r="57" spans="1:3" ht="41.25">
      <c r="A57" s="32" t="s">
        <v>49</v>
      </c>
      <c r="B57" s="38">
        <f>2145028.67+2072548.35</f>
        <v>4217577.02</v>
      </c>
      <c r="C57" s="39"/>
    </row>
    <row r="58" ht="13.5">
      <c r="B58" s="39"/>
    </row>
    <row r="59" spans="1:2" ht="17.25">
      <c r="A59" s="5" t="s">
        <v>50</v>
      </c>
      <c r="B59" s="39"/>
    </row>
    <row r="60" ht="13.5">
      <c r="B60" s="39"/>
    </row>
    <row r="61" spans="1:2" ht="27.75">
      <c r="A61" s="32" t="s">
        <v>51</v>
      </c>
      <c r="B61" s="40">
        <f>154670.86+191312.97</f>
        <v>345983.82999999996</v>
      </c>
    </row>
    <row r="62" spans="1:2" ht="27.75">
      <c r="A62" s="32" t="s">
        <v>52</v>
      </c>
      <c r="B62" s="40">
        <f>259002.88+301733.18</f>
        <v>560736.06</v>
      </c>
    </row>
    <row r="63" spans="1:2" ht="13.5">
      <c r="A63" s="41" t="s">
        <v>53</v>
      </c>
      <c r="B63" s="42"/>
    </row>
    <row r="64" spans="1:2" ht="13.5">
      <c r="A64" s="12" t="s">
        <v>54</v>
      </c>
      <c r="B64" s="40">
        <v>26913.42</v>
      </c>
    </row>
    <row r="65" spans="1:2" ht="14.25">
      <c r="A65" s="32" t="s">
        <v>55</v>
      </c>
      <c r="B65" s="40">
        <v>34950.61</v>
      </c>
    </row>
    <row r="66" spans="1:2" ht="14.25">
      <c r="A66" s="32" t="s">
        <v>56</v>
      </c>
      <c r="B66" s="40">
        <v>49993.47</v>
      </c>
    </row>
    <row r="67" spans="1:2" ht="14.25">
      <c r="A67" s="32" t="s">
        <v>57</v>
      </c>
      <c r="B67" s="40">
        <v>27107.62</v>
      </c>
    </row>
    <row r="68" spans="1:2" ht="14.25">
      <c r="A68" s="32" t="s">
        <v>58</v>
      </c>
      <c r="B68" s="40">
        <v>27568.16</v>
      </c>
    </row>
    <row r="69" spans="1:2" ht="14.25">
      <c r="A69" s="43" t="s">
        <v>59</v>
      </c>
      <c r="B69" s="40"/>
    </row>
    <row r="70" spans="1:2" ht="14.25">
      <c r="A70" s="32" t="s">
        <v>60</v>
      </c>
      <c r="B70" s="40">
        <v>46221.31</v>
      </c>
    </row>
    <row r="71" spans="1:2" ht="14.25">
      <c r="A71" s="32" t="s">
        <v>61</v>
      </c>
      <c r="B71" s="40">
        <v>17358.16</v>
      </c>
    </row>
    <row r="72" spans="1:2" ht="14.25">
      <c r="A72" s="32" t="s">
        <v>62</v>
      </c>
      <c r="B72" s="40">
        <v>55041.65</v>
      </c>
    </row>
    <row r="73" spans="1:2" ht="13.5">
      <c r="A73" s="44"/>
      <c r="B73" s="45"/>
    </row>
    <row r="74" spans="1:3" ht="17.25">
      <c r="A74" s="46" t="s">
        <v>63</v>
      </c>
      <c r="B74" s="46"/>
      <c r="C74" s="23"/>
    </row>
    <row r="75" spans="1:3" ht="14.25" customHeight="1">
      <c r="A75" s="47" t="s">
        <v>64</v>
      </c>
      <c r="B75" s="47"/>
      <c r="C75" s="47"/>
    </row>
    <row r="76" ht="13.5">
      <c r="A76" s="48"/>
    </row>
    <row r="77" ht="17.25">
      <c r="A77" s="5" t="s">
        <v>65</v>
      </c>
    </row>
    <row r="78" spans="1:5" ht="15.75" customHeight="1">
      <c r="A78" s="49" t="s">
        <v>66</v>
      </c>
      <c r="B78" s="12"/>
      <c r="C78" s="50" t="s">
        <v>67</v>
      </c>
      <c r="D78" s="51" t="s">
        <v>68</v>
      </c>
      <c r="E78" s="52"/>
    </row>
    <row r="79" spans="1:5" ht="13.5">
      <c r="A79" s="41" t="s">
        <v>5</v>
      </c>
      <c r="B79" s="41" t="s">
        <v>69</v>
      </c>
      <c r="C79" s="53" t="s">
        <v>70</v>
      </c>
      <c r="D79" s="51"/>
      <c r="E79" s="52"/>
    </row>
    <row r="80" spans="1:5" ht="13.5">
      <c r="A80" s="12" t="s">
        <v>7</v>
      </c>
      <c r="B80" s="12" t="s">
        <v>71</v>
      </c>
      <c r="C80" s="54">
        <v>246849.05</v>
      </c>
      <c r="D80" s="40">
        <v>285082.33</v>
      </c>
      <c r="E80" s="55"/>
    </row>
    <row r="81" spans="1:5" ht="13.5">
      <c r="A81" s="12" t="s">
        <v>8</v>
      </c>
      <c r="B81" s="12" t="s">
        <v>72</v>
      </c>
      <c r="C81" s="54">
        <v>217004.82</v>
      </c>
      <c r="D81" s="40">
        <v>249316.06</v>
      </c>
      <c r="E81" s="55"/>
    </row>
    <row r="82" spans="1:5" ht="13.5">
      <c r="A82" s="12" t="s">
        <v>9</v>
      </c>
      <c r="B82" s="12" t="s">
        <v>73</v>
      </c>
      <c r="C82" s="54">
        <v>171904.57</v>
      </c>
      <c r="D82" s="40">
        <v>197579.34</v>
      </c>
      <c r="E82" s="55"/>
    </row>
    <row r="83" spans="1:5" ht="13.5">
      <c r="A83" s="12" t="s">
        <v>10</v>
      </c>
      <c r="B83" s="12" t="s">
        <v>74</v>
      </c>
      <c r="C83" s="54">
        <v>164526.24</v>
      </c>
      <c r="D83" s="40">
        <v>189100.19</v>
      </c>
      <c r="E83" s="55"/>
    </row>
    <row r="84" spans="1:5" ht="41.25">
      <c r="A84" s="12" t="s">
        <v>14</v>
      </c>
      <c r="B84" s="56" t="s">
        <v>75</v>
      </c>
      <c r="C84" s="57">
        <f>1600</f>
        <v>1600</v>
      </c>
      <c r="D84" s="40"/>
      <c r="E84" s="55"/>
    </row>
    <row r="85" spans="1:5" ht="13.5">
      <c r="A85" s="12" t="s">
        <v>15</v>
      </c>
      <c r="B85" s="12" t="s">
        <v>76</v>
      </c>
      <c r="C85" s="57">
        <v>13728.84</v>
      </c>
      <c r="D85" s="40">
        <v>13729</v>
      </c>
      <c r="E85" s="55"/>
    </row>
    <row r="86" spans="1:5" ht="13.5">
      <c r="A86" s="12" t="s">
        <v>16</v>
      </c>
      <c r="B86" s="12" t="s">
        <v>77</v>
      </c>
      <c r="C86" s="54">
        <v>72849.89</v>
      </c>
      <c r="D86" s="40">
        <v>76771.74</v>
      </c>
      <c r="E86" s="55"/>
    </row>
    <row r="87" spans="1:5" ht="13.5">
      <c r="A87" s="12" t="s">
        <v>17</v>
      </c>
      <c r="B87" s="12" t="s">
        <v>78</v>
      </c>
      <c r="C87" s="54">
        <v>166190.22</v>
      </c>
      <c r="D87" s="40">
        <v>175268.71</v>
      </c>
      <c r="E87" s="55"/>
    </row>
    <row r="88" spans="1:5" ht="13.5">
      <c r="A88" s="12" t="s">
        <v>18</v>
      </c>
      <c r="B88" s="12" t="s">
        <v>79</v>
      </c>
      <c r="C88" s="54">
        <v>242149.29</v>
      </c>
      <c r="D88" s="40">
        <v>255603.11</v>
      </c>
      <c r="E88" s="55"/>
    </row>
    <row r="89" spans="1:5" ht="13.5">
      <c r="A89" s="49" t="s">
        <v>19</v>
      </c>
      <c r="B89" s="12"/>
      <c r="C89" s="58">
        <f>SUM(C80:C88)</f>
        <v>1296802.92</v>
      </c>
      <c r="D89" s="38">
        <f>SUM(D80:D88)</f>
        <v>1442450.4800000002</v>
      </c>
      <c r="E89" s="59"/>
    </row>
    <row r="90" spans="1:5" ht="14.25">
      <c r="A90" s="60" t="s">
        <v>80</v>
      </c>
      <c r="B90" s="32"/>
      <c r="C90" s="58">
        <f>C89*1.01</f>
        <v>1309770.9492</v>
      </c>
      <c r="D90" s="12"/>
      <c r="E90" s="23"/>
    </row>
    <row r="91" ht="13.5">
      <c r="C91" s="61"/>
    </row>
    <row r="92" spans="1:3" ht="17.25">
      <c r="A92" s="62" t="s">
        <v>81</v>
      </c>
      <c r="B92" s="63"/>
      <c r="C92" s="64"/>
    </row>
    <row r="93" spans="1:3" ht="13.5">
      <c r="A93" s="12" t="s">
        <v>7</v>
      </c>
      <c r="B93" s="12" t="s">
        <v>82</v>
      </c>
      <c r="C93" s="65">
        <v>22756.23</v>
      </c>
    </row>
    <row r="94" spans="1:3" ht="13.5">
      <c r="A94" s="12" t="s">
        <v>8</v>
      </c>
      <c r="B94" s="12" t="s">
        <v>83</v>
      </c>
      <c r="C94" s="65">
        <v>28448.46</v>
      </c>
    </row>
    <row r="95" spans="1:3" ht="13.5">
      <c r="A95" s="12" t="s">
        <v>9</v>
      </c>
      <c r="B95" s="12" t="s">
        <v>84</v>
      </c>
      <c r="C95" s="65">
        <v>27674</v>
      </c>
    </row>
    <row r="96" spans="1:3" ht="13.5">
      <c r="A96" s="12" t="s">
        <v>10</v>
      </c>
      <c r="B96" s="12" t="s">
        <v>85</v>
      </c>
      <c r="C96" s="65">
        <v>29024.91</v>
      </c>
    </row>
    <row r="97" spans="1:3" ht="13.5">
      <c r="A97" s="12" t="s">
        <v>11</v>
      </c>
      <c r="B97" s="12" t="s">
        <v>86</v>
      </c>
      <c r="C97" s="66">
        <v>21923.25</v>
      </c>
    </row>
    <row r="98" spans="1:3" ht="13.5">
      <c r="A98" s="12" t="s">
        <v>12</v>
      </c>
      <c r="B98" s="12" t="s">
        <v>87</v>
      </c>
      <c r="C98" s="66">
        <v>14189.78</v>
      </c>
    </row>
    <row r="99" spans="1:3" ht="13.5">
      <c r="A99" s="12" t="s">
        <v>13</v>
      </c>
      <c r="B99" s="12" t="s">
        <v>88</v>
      </c>
      <c r="C99" s="66">
        <v>14611.6</v>
      </c>
    </row>
    <row r="100" spans="1:3" ht="13.5">
      <c r="A100" s="12" t="s">
        <v>14</v>
      </c>
      <c r="B100" s="12" t="s">
        <v>89</v>
      </c>
      <c r="C100" s="66">
        <v>17388.62</v>
      </c>
    </row>
    <row r="101" spans="1:3" ht="13.5">
      <c r="A101" s="12" t="s">
        <v>15</v>
      </c>
      <c r="B101" s="12" t="s">
        <v>90</v>
      </c>
      <c r="C101" s="66">
        <v>18255.72</v>
      </c>
    </row>
    <row r="102" spans="1:3" ht="13.5">
      <c r="A102" s="12" t="s">
        <v>16</v>
      </c>
      <c r="B102" s="12" t="s">
        <v>91</v>
      </c>
      <c r="C102" s="66">
        <v>21313.94</v>
      </c>
    </row>
    <row r="103" spans="1:3" ht="13.5">
      <c r="A103" s="12" t="s">
        <v>17</v>
      </c>
      <c r="B103" s="12" t="s">
        <v>92</v>
      </c>
      <c r="C103" s="66">
        <v>27407</v>
      </c>
    </row>
    <row r="104" spans="1:3" ht="13.5">
      <c r="A104" s="12" t="s">
        <v>18</v>
      </c>
      <c r="B104" s="12" t="s">
        <v>93</v>
      </c>
      <c r="C104" s="66">
        <v>39124.4</v>
      </c>
    </row>
    <row r="105" spans="1:3" ht="13.5">
      <c r="A105" s="49" t="s">
        <v>19</v>
      </c>
      <c r="B105" s="12"/>
      <c r="C105" s="67">
        <f>SUM(C93:C104)</f>
        <v>282117.91</v>
      </c>
    </row>
    <row r="106" spans="1:3" ht="13.5">
      <c r="A106" s="68" t="s">
        <v>80</v>
      </c>
      <c r="B106" s="12"/>
      <c r="C106" s="67">
        <f>C105*1.01</f>
        <v>284939.0891</v>
      </c>
    </row>
    <row r="107" spans="1:3" ht="13.5">
      <c r="A107" s="69"/>
      <c r="B107" s="23"/>
      <c r="C107" s="70"/>
    </row>
    <row r="108" spans="1:3" ht="13.5">
      <c r="A108" s="71" t="s">
        <v>94</v>
      </c>
      <c r="B108" s="12" t="s">
        <v>95</v>
      </c>
      <c r="C108" s="67">
        <v>38276.83</v>
      </c>
    </row>
    <row r="109" spans="1:3" ht="13.5">
      <c r="A109" s="71" t="s">
        <v>80</v>
      </c>
      <c r="B109" s="12"/>
      <c r="C109" s="67">
        <f>C108*1.01</f>
        <v>38659.598300000005</v>
      </c>
    </row>
    <row r="110" spans="1:3" ht="13.5">
      <c r="A110" s="69"/>
      <c r="B110" s="23"/>
      <c r="C110" s="70"/>
    </row>
    <row r="111" spans="1:3" ht="13.5">
      <c r="A111" s="62" t="s">
        <v>96</v>
      </c>
      <c r="B111" s="12" t="s">
        <v>97</v>
      </c>
      <c r="C111" s="66" t="s">
        <v>98</v>
      </c>
    </row>
    <row r="112" spans="1:3" ht="13.5">
      <c r="A112" s="72" t="s">
        <v>7</v>
      </c>
      <c r="B112" s="73">
        <f>C112*3.77</f>
        <v>9575.8</v>
      </c>
      <c r="C112" s="12">
        <f>660+1880</f>
        <v>2540</v>
      </c>
    </row>
    <row r="113" spans="1:3" ht="13.5">
      <c r="A113" s="72" t="s">
        <v>8</v>
      </c>
      <c r="B113" s="73">
        <f aca="true" t="shared" si="1" ref="B113:B123">C113*3.77</f>
        <v>16437.2</v>
      </c>
      <c r="C113" s="12">
        <f>1000+3360</f>
        <v>4360</v>
      </c>
    </row>
    <row r="114" spans="1:3" ht="13.5">
      <c r="A114" s="72" t="s">
        <v>9</v>
      </c>
      <c r="B114" s="73">
        <f t="shared" si="1"/>
        <v>16286.4</v>
      </c>
      <c r="C114" s="12">
        <f>960+3360</f>
        <v>4320</v>
      </c>
    </row>
    <row r="115" spans="1:3" ht="13.5">
      <c r="A115" s="72" t="s">
        <v>10</v>
      </c>
      <c r="B115" s="73">
        <f t="shared" si="1"/>
        <v>14929.2</v>
      </c>
      <c r="C115" s="12">
        <f>880+3080</f>
        <v>3960</v>
      </c>
    </row>
    <row r="116" spans="1:3" ht="13.5">
      <c r="A116" s="72" t="s">
        <v>11</v>
      </c>
      <c r="B116" s="73">
        <f t="shared" si="1"/>
        <v>14175.2</v>
      </c>
      <c r="C116" s="12">
        <f>1120+2640</f>
        <v>3760</v>
      </c>
    </row>
    <row r="117" spans="1:3" ht="13.5">
      <c r="A117" s="72" t="s">
        <v>12</v>
      </c>
      <c r="B117" s="73">
        <f t="shared" si="1"/>
        <v>12441</v>
      </c>
      <c r="C117" s="12">
        <f>1300+2000</f>
        <v>3300</v>
      </c>
    </row>
    <row r="118" spans="1:3" ht="13.5">
      <c r="A118" s="72" t="s">
        <v>13</v>
      </c>
      <c r="B118" s="73">
        <f t="shared" si="1"/>
        <v>15306.2</v>
      </c>
      <c r="C118" s="12">
        <f>1980+2080</f>
        <v>4060</v>
      </c>
    </row>
    <row r="119" spans="1:3" ht="13.5">
      <c r="A119" s="72" t="s">
        <v>14</v>
      </c>
      <c r="B119" s="73">
        <f t="shared" si="1"/>
        <v>16060.2</v>
      </c>
      <c r="C119" s="12">
        <f>1820+2440</f>
        <v>4260</v>
      </c>
    </row>
    <row r="120" spans="1:3" ht="13.5">
      <c r="A120" s="72" t="s">
        <v>15</v>
      </c>
      <c r="B120" s="73">
        <f t="shared" si="1"/>
        <v>14401.4</v>
      </c>
      <c r="C120" s="12">
        <f>1380+2440</f>
        <v>3820</v>
      </c>
    </row>
    <row r="121" spans="1:3" ht="13.5">
      <c r="A121" s="72" t="s">
        <v>16</v>
      </c>
      <c r="B121" s="73">
        <f t="shared" si="1"/>
        <v>22846.2</v>
      </c>
      <c r="C121" s="12">
        <f>1660+4400</f>
        <v>6060</v>
      </c>
    </row>
    <row r="122" spans="1:3" ht="13.5">
      <c r="A122" s="72" t="s">
        <v>17</v>
      </c>
      <c r="B122" s="73">
        <f t="shared" si="1"/>
        <v>18925.4</v>
      </c>
      <c r="C122" s="12">
        <f>3280+1740</f>
        <v>5020</v>
      </c>
    </row>
    <row r="123" spans="1:3" ht="13.5">
      <c r="A123" s="72" t="s">
        <v>18</v>
      </c>
      <c r="B123" s="73">
        <f t="shared" si="1"/>
        <v>17115.8</v>
      </c>
      <c r="C123" s="12">
        <f>1220+3320</f>
        <v>4540</v>
      </c>
    </row>
    <row r="124" spans="1:3" ht="13.5">
      <c r="A124" s="68" t="s">
        <v>19</v>
      </c>
      <c r="B124" s="74">
        <f>SUM(B112:B123)</f>
        <v>188499.99999999997</v>
      </c>
      <c r="C124" s="12">
        <f>SUM(C112:C123)</f>
        <v>50000</v>
      </c>
    </row>
    <row r="125" spans="1:3" ht="13.5">
      <c r="A125" s="68" t="s">
        <v>80</v>
      </c>
      <c r="B125" s="74">
        <f>B124*1.01</f>
        <v>190384.99999999997</v>
      </c>
      <c r="C125" s="12"/>
    </row>
    <row r="126" ht="13.5">
      <c r="C126" s="61"/>
    </row>
    <row r="127" spans="1:3" ht="17.25">
      <c r="A127" s="62" t="s">
        <v>99</v>
      </c>
      <c r="B127" s="63"/>
      <c r="C127" s="66"/>
    </row>
    <row r="128" spans="1:3" ht="13.5">
      <c r="A128" s="12" t="s">
        <v>7</v>
      </c>
      <c r="B128" s="12" t="s">
        <v>100</v>
      </c>
      <c r="C128" s="66">
        <v>7359.38</v>
      </c>
    </row>
    <row r="129" spans="1:3" ht="13.5">
      <c r="A129" s="12" t="s">
        <v>8</v>
      </c>
      <c r="B129" s="12" t="s">
        <v>101</v>
      </c>
      <c r="C129" s="66">
        <v>7359.38</v>
      </c>
    </row>
    <row r="130" spans="1:3" ht="13.5">
      <c r="A130" s="12" t="s">
        <v>9</v>
      </c>
      <c r="B130" s="12" t="s">
        <v>102</v>
      </c>
      <c r="C130" s="66">
        <v>7359.38</v>
      </c>
    </row>
    <row r="131" spans="1:3" ht="13.5">
      <c r="A131" s="12" t="s">
        <v>10</v>
      </c>
      <c r="B131" s="12" t="s">
        <v>103</v>
      </c>
      <c r="C131" s="66">
        <v>7359.38</v>
      </c>
    </row>
    <row r="132" spans="1:3" ht="13.5">
      <c r="A132" s="12" t="s">
        <v>10</v>
      </c>
      <c r="B132" s="12" t="s">
        <v>104</v>
      </c>
      <c r="C132" s="66">
        <v>4000</v>
      </c>
    </row>
    <row r="133" spans="1:3" ht="13.5">
      <c r="A133" s="12" t="s">
        <v>11</v>
      </c>
      <c r="B133" s="12" t="s">
        <v>105</v>
      </c>
      <c r="C133" s="66">
        <v>7359.38</v>
      </c>
    </row>
    <row r="134" spans="1:3" ht="13.5">
      <c r="A134" s="12" t="s">
        <v>12</v>
      </c>
      <c r="B134" s="12" t="s">
        <v>106</v>
      </c>
      <c r="C134" s="66">
        <v>7359.38</v>
      </c>
    </row>
    <row r="135" spans="1:3" ht="13.5">
      <c r="A135" s="12" t="s">
        <v>12</v>
      </c>
      <c r="B135" s="12" t="s">
        <v>107</v>
      </c>
      <c r="C135" s="66">
        <v>1710</v>
      </c>
    </row>
    <row r="136" spans="1:3" ht="13.5">
      <c r="A136" s="12" t="s">
        <v>13</v>
      </c>
      <c r="B136" s="12" t="s">
        <v>108</v>
      </c>
      <c r="C136" s="66">
        <v>7359.38</v>
      </c>
    </row>
    <row r="137" spans="1:3" ht="13.5">
      <c r="A137" s="12" t="s">
        <v>14</v>
      </c>
      <c r="B137" s="12" t="s">
        <v>109</v>
      </c>
      <c r="C137" s="66">
        <v>7359.38</v>
      </c>
    </row>
    <row r="138" spans="1:3" ht="13.5">
      <c r="A138" s="12" t="s">
        <v>15</v>
      </c>
      <c r="B138" s="12" t="s">
        <v>110</v>
      </c>
      <c r="C138" s="66">
        <v>7359.38</v>
      </c>
    </row>
    <row r="139" spans="1:3" ht="13.5">
      <c r="A139" s="12" t="s">
        <v>16</v>
      </c>
      <c r="B139" s="12" t="s">
        <v>111</v>
      </c>
      <c r="C139" s="66">
        <v>7359.38</v>
      </c>
    </row>
    <row r="140" spans="1:3" ht="13.5">
      <c r="A140" s="12" t="s">
        <v>17</v>
      </c>
      <c r="B140" s="12" t="s">
        <v>112</v>
      </c>
      <c r="C140" s="66">
        <v>7359.38</v>
      </c>
    </row>
    <row r="141" spans="1:3" ht="13.5">
      <c r="A141" s="12" t="s">
        <v>18</v>
      </c>
      <c r="B141" s="12" t="s">
        <v>113</v>
      </c>
      <c r="C141" s="66">
        <v>7359.38</v>
      </c>
    </row>
    <row r="142" spans="1:3" ht="13.5">
      <c r="A142" s="49" t="s">
        <v>19</v>
      </c>
      <c r="B142" s="12"/>
      <c r="C142" s="67">
        <f>SUM(C128:C141)</f>
        <v>94022.56</v>
      </c>
    </row>
    <row r="143" spans="1:3" ht="13.5">
      <c r="A143" s="49" t="s">
        <v>80</v>
      </c>
      <c r="B143" s="12"/>
      <c r="C143" s="67">
        <f>C142*1.01</f>
        <v>94962.7856</v>
      </c>
    </row>
    <row r="144" spans="2:3" ht="13.5">
      <c r="B144" s="75"/>
      <c r="C144" s="61"/>
    </row>
    <row r="145" spans="1:3" ht="17.25">
      <c r="A145" s="62" t="s">
        <v>41</v>
      </c>
      <c r="B145" s="76"/>
      <c r="C145" s="66"/>
    </row>
    <row r="146" spans="1:3" ht="13.5">
      <c r="A146" s="12" t="s">
        <v>9</v>
      </c>
      <c r="B146" s="12" t="s">
        <v>114</v>
      </c>
      <c r="C146" s="66">
        <v>3000</v>
      </c>
    </row>
    <row r="147" spans="1:3" ht="13.5">
      <c r="A147" s="12" t="s">
        <v>13</v>
      </c>
      <c r="B147" s="12" t="s">
        <v>115</v>
      </c>
      <c r="C147" s="66">
        <v>3800</v>
      </c>
    </row>
    <row r="148" spans="1:3" ht="13.5">
      <c r="A148" s="12" t="s">
        <v>14</v>
      </c>
      <c r="B148" s="12" t="s">
        <v>116</v>
      </c>
      <c r="C148" s="66">
        <v>7600</v>
      </c>
    </row>
    <row r="149" spans="1:3" ht="13.5">
      <c r="A149" s="12" t="s">
        <v>15</v>
      </c>
      <c r="B149" s="12" t="s">
        <v>117</v>
      </c>
      <c r="C149" s="66">
        <v>7600</v>
      </c>
    </row>
    <row r="150" spans="1:3" ht="13.5">
      <c r="A150" s="12" t="s">
        <v>18</v>
      </c>
      <c r="B150" s="12" t="s">
        <v>118</v>
      </c>
      <c r="C150" s="66">
        <v>11400</v>
      </c>
    </row>
    <row r="151" spans="1:3" ht="13.5">
      <c r="A151" s="12" t="s">
        <v>18</v>
      </c>
      <c r="B151" s="12" t="s">
        <v>119</v>
      </c>
      <c r="C151" s="66">
        <v>7600</v>
      </c>
    </row>
    <row r="152" spans="1:3" ht="13.5">
      <c r="A152" s="12" t="s">
        <v>120</v>
      </c>
      <c r="B152" s="12" t="s">
        <v>121</v>
      </c>
      <c r="C152" s="66">
        <v>7600</v>
      </c>
    </row>
    <row r="153" spans="1:3" ht="15">
      <c r="A153" s="49" t="s">
        <v>19</v>
      </c>
      <c r="B153" s="77"/>
      <c r="C153" s="67">
        <f>SUM(C146:C152)</f>
        <v>48600</v>
      </c>
    </row>
    <row r="154" spans="1:3" ht="13.5">
      <c r="A154" s="68" t="s">
        <v>80</v>
      </c>
      <c r="B154" s="32"/>
      <c r="C154" s="67">
        <f>C153*1.01</f>
        <v>49086</v>
      </c>
    </row>
    <row r="155" spans="1:3" ht="13.5">
      <c r="A155" s="69"/>
      <c r="B155" s="44"/>
      <c r="C155" s="70"/>
    </row>
    <row r="156" spans="1:3" ht="17.25">
      <c r="A156" s="62" t="s">
        <v>122</v>
      </c>
      <c r="B156" s="76"/>
      <c r="C156" s="66"/>
    </row>
    <row r="157" spans="1:3" ht="13.5">
      <c r="A157" s="12" t="s">
        <v>7</v>
      </c>
      <c r="B157" s="12" t="s">
        <v>123</v>
      </c>
      <c r="C157" s="66">
        <f>6749.6+6230.4</f>
        <v>12980</v>
      </c>
    </row>
    <row r="158" spans="1:3" ht="13.5">
      <c r="A158" s="12" t="s">
        <v>8</v>
      </c>
      <c r="B158" s="12" t="s">
        <v>124</v>
      </c>
      <c r="C158" s="66">
        <f>5826.25+5354.25</f>
        <v>11180.5</v>
      </c>
    </row>
    <row r="159" spans="1:3" ht="27.75">
      <c r="A159" s="12" t="s">
        <v>8</v>
      </c>
      <c r="B159" s="56" t="s">
        <v>125</v>
      </c>
      <c r="C159" s="66">
        <f>5700+5700</f>
        <v>11400</v>
      </c>
    </row>
    <row r="160" spans="1:3" ht="13.5">
      <c r="A160" s="12" t="s">
        <v>9</v>
      </c>
      <c r="B160" s="12" t="s">
        <v>126</v>
      </c>
      <c r="C160" s="66">
        <f>6136+5664</f>
        <v>11800</v>
      </c>
    </row>
    <row r="161" spans="1:3" ht="13.5">
      <c r="A161" s="12" t="s">
        <v>10</v>
      </c>
      <c r="B161" s="12" t="s">
        <v>127</v>
      </c>
      <c r="C161" s="66">
        <f>6749.6+6230.52</f>
        <v>12980.12</v>
      </c>
    </row>
    <row r="162" spans="1:3" ht="13.5">
      <c r="A162" s="12" t="s">
        <v>11</v>
      </c>
      <c r="B162" s="12" t="s">
        <v>128</v>
      </c>
      <c r="C162" s="66">
        <v>11684</v>
      </c>
    </row>
    <row r="163" spans="1:3" ht="13.5">
      <c r="A163" s="12" t="s">
        <v>12</v>
      </c>
      <c r="B163" s="12" t="s">
        <v>129</v>
      </c>
      <c r="C163" s="66">
        <f>6749.6+6230.52</f>
        <v>12980.12</v>
      </c>
    </row>
    <row r="164" spans="1:3" ht="13.5">
      <c r="A164" s="12" t="s">
        <v>13</v>
      </c>
      <c r="B164" s="12" t="s">
        <v>130</v>
      </c>
      <c r="C164" s="66">
        <f>6042+5642</f>
        <v>11684</v>
      </c>
    </row>
    <row r="165" spans="1:3" ht="13.5">
      <c r="A165" s="12" t="s">
        <v>14</v>
      </c>
      <c r="B165" s="12" t="s">
        <v>131</v>
      </c>
      <c r="C165" s="66">
        <f>6042+5642</f>
        <v>11684</v>
      </c>
    </row>
    <row r="166" spans="1:3" ht="13.5">
      <c r="A166" s="12" t="s">
        <v>15</v>
      </c>
      <c r="B166" s="12" t="s">
        <v>132</v>
      </c>
      <c r="C166" s="66">
        <f>6042+5642</f>
        <v>11684</v>
      </c>
    </row>
    <row r="167" spans="1:3" ht="13.5">
      <c r="A167" s="12" t="s">
        <v>16</v>
      </c>
      <c r="B167" s="12" t="s">
        <v>133</v>
      </c>
      <c r="C167" s="66">
        <f>6042+5642</f>
        <v>11684</v>
      </c>
    </row>
    <row r="168" spans="1:3" ht="13.5">
      <c r="A168" s="12" t="s">
        <v>17</v>
      </c>
      <c r="B168" s="12" t="s">
        <v>134</v>
      </c>
      <c r="C168" s="66">
        <f>6042+5642</f>
        <v>11684</v>
      </c>
    </row>
    <row r="169" spans="1:3" ht="27.75">
      <c r="A169" s="12" t="s">
        <v>17</v>
      </c>
      <c r="B169" s="32" t="s">
        <v>135</v>
      </c>
      <c r="C169" s="66">
        <v>500</v>
      </c>
    </row>
    <row r="170" spans="1:3" ht="13.5">
      <c r="A170" s="12" t="s">
        <v>18</v>
      </c>
      <c r="B170" s="12" t="s">
        <v>136</v>
      </c>
      <c r="C170" s="66">
        <f>6042+5642</f>
        <v>11684</v>
      </c>
    </row>
    <row r="171" spans="1:3" ht="27.75">
      <c r="A171" s="12" t="s">
        <v>120</v>
      </c>
      <c r="B171" s="32" t="s">
        <v>137</v>
      </c>
      <c r="C171" s="66">
        <v>500</v>
      </c>
    </row>
    <row r="172" spans="1:3" ht="13.5">
      <c r="A172" s="49" t="s">
        <v>19</v>
      </c>
      <c r="B172" s="12"/>
      <c r="C172" s="67">
        <f>SUM(C157:C171)</f>
        <v>156108.74</v>
      </c>
    </row>
    <row r="173" spans="1:3" ht="13.5">
      <c r="A173" s="49" t="s">
        <v>80</v>
      </c>
      <c r="B173" s="12"/>
      <c r="C173" s="67">
        <f>C172*1.01</f>
        <v>157669.82739999998</v>
      </c>
    </row>
    <row r="174" spans="1:3" ht="13.5">
      <c r="A174" s="78"/>
      <c r="B174" s="23"/>
      <c r="C174" s="70"/>
    </row>
    <row r="175" spans="1:3" ht="17.25">
      <c r="A175" s="79" t="s">
        <v>138</v>
      </c>
      <c r="B175" s="76"/>
      <c r="C175" s="66"/>
    </row>
    <row r="176" spans="1:3" ht="27.75">
      <c r="A176" s="12" t="s">
        <v>139</v>
      </c>
      <c r="B176" s="32" t="s">
        <v>140</v>
      </c>
      <c r="C176" s="66">
        <f>136.41+136.41</f>
        <v>272.82</v>
      </c>
    </row>
    <row r="177" spans="1:3" ht="13.5">
      <c r="A177" s="49" t="s">
        <v>141</v>
      </c>
      <c r="B177" s="32"/>
      <c r="C177" s="66">
        <f>C176*1.01</f>
        <v>275.5482</v>
      </c>
    </row>
    <row r="178" spans="1:3" ht="13.5">
      <c r="A178" s="23"/>
      <c r="B178" s="44"/>
      <c r="C178" s="80"/>
    </row>
    <row r="179" spans="1:3" ht="13.5">
      <c r="A179" s="62" t="s">
        <v>142</v>
      </c>
      <c r="B179" s="32"/>
      <c r="C179" s="66"/>
    </row>
    <row r="180" spans="1:3" ht="13.5">
      <c r="A180" s="12" t="s">
        <v>11</v>
      </c>
      <c r="B180" s="12" t="s">
        <v>143</v>
      </c>
      <c r="C180" s="66">
        <v>57082.85</v>
      </c>
    </row>
    <row r="181" spans="1:3" ht="13.5">
      <c r="A181" s="49" t="s">
        <v>19</v>
      </c>
      <c r="B181" s="12"/>
      <c r="C181" s="67">
        <f>C180</f>
        <v>57082.85</v>
      </c>
    </row>
    <row r="182" spans="1:3" ht="15">
      <c r="A182" s="81" t="s">
        <v>141</v>
      </c>
      <c r="B182" s="49"/>
      <c r="C182" s="67">
        <f>C181*1.01</f>
        <v>57653.6785</v>
      </c>
    </row>
    <row r="183" spans="1:3" ht="15">
      <c r="A183" s="82"/>
      <c r="B183" s="78"/>
      <c r="C183" s="70"/>
    </row>
    <row r="184" spans="1:3" ht="13.5">
      <c r="A184" s="69"/>
      <c r="B184" s="78"/>
      <c r="C184" s="70"/>
    </row>
    <row r="185" spans="1:3" ht="15">
      <c r="A185" s="81" t="s">
        <v>144</v>
      </c>
      <c r="B185" s="49"/>
      <c r="C185" s="67">
        <v>23520</v>
      </c>
    </row>
    <row r="186" spans="1:3" ht="15">
      <c r="A186" s="81" t="s">
        <v>141</v>
      </c>
      <c r="B186" s="49"/>
      <c r="C186" s="67">
        <f>C185*1.01</f>
        <v>23755.2</v>
      </c>
    </row>
    <row r="187" spans="1:3" ht="13.5">
      <c r="A187" s="69"/>
      <c r="B187" s="78"/>
      <c r="C187" s="70"/>
    </row>
    <row r="188" spans="1:3" ht="15">
      <c r="A188" s="82"/>
      <c r="B188" s="78"/>
      <c r="C188" s="70"/>
    </row>
    <row r="189" spans="1:3" ht="17.25">
      <c r="A189" s="83" t="s">
        <v>145</v>
      </c>
      <c r="B189" s="49"/>
      <c r="C189" s="67">
        <f>C186+C182+C173+C154+C143+B125+C109+C106+C90+C177</f>
        <v>2207157.6763</v>
      </c>
    </row>
    <row r="190" spans="1:3" ht="13.5">
      <c r="A190" s="68" t="s">
        <v>146</v>
      </c>
      <c r="B190" s="49"/>
      <c r="C190" s="67"/>
    </row>
    <row r="191" spans="1:3" ht="13.5">
      <c r="A191" s="68" t="s">
        <v>147</v>
      </c>
      <c r="B191" s="12"/>
      <c r="C191" s="67">
        <v>755936</v>
      </c>
    </row>
    <row r="192" spans="1:4" ht="13.5">
      <c r="A192" s="68" t="s">
        <v>148</v>
      </c>
      <c r="B192" s="12"/>
      <c r="C192" s="67">
        <f>(B57-C189-C191)/12</f>
        <v>104540.27864166663</v>
      </c>
      <c r="D192" s="39"/>
    </row>
    <row r="193" spans="1:4" ht="13.5">
      <c r="A193" s="36" t="s">
        <v>149</v>
      </c>
      <c r="B193" s="23"/>
      <c r="C193" s="84"/>
      <c r="D193" s="39"/>
    </row>
    <row r="194" spans="1:4" ht="13.5">
      <c r="A194" s="85" t="s">
        <v>150</v>
      </c>
      <c r="B194" s="23"/>
      <c r="C194" s="84"/>
      <c r="D194" s="39"/>
    </row>
    <row r="195" spans="1:4" ht="13.5">
      <c r="A195" s="85" t="s">
        <v>151</v>
      </c>
      <c r="B195" s="23"/>
      <c r="C195" s="84"/>
      <c r="D195" s="39"/>
    </row>
    <row r="196" spans="1:4" ht="13.5">
      <c r="A196" s="36" t="s">
        <v>152</v>
      </c>
      <c r="B196" s="23"/>
      <c r="C196" s="84"/>
      <c r="D196" s="39"/>
    </row>
    <row r="197" spans="1:4" ht="13.5">
      <c r="A197" s="36" t="s">
        <v>153</v>
      </c>
      <c r="B197" s="23"/>
      <c r="C197" s="84"/>
      <c r="D197" s="39"/>
    </row>
    <row r="198" ht="13.5">
      <c r="A198" s="69"/>
    </row>
    <row r="199" ht="15">
      <c r="A199" s="86" t="s">
        <v>154</v>
      </c>
    </row>
    <row r="200" ht="13.5">
      <c r="A200" t="s">
        <v>155</v>
      </c>
    </row>
    <row r="201" ht="13.5">
      <c r="A201" t="s">
        <v>156</v>
      </c>
    </row>
    <row r="202" ht="13.5">
      <c r="A202" t="s">
        <v>157</v>
      </c>
    </row>
    <row r="203" ht="13.5">
      <c r="A203" t="s">
        <v>158</v>
      </c>
    </row>
    <row r="204" ht="13.5">
      <c r="A204" t="s">
        <v>159</v>
      </c>
    </row>
    <row r="205" ht="13.5">
      <c r="A205" t="s">
        <v>160</v>
      </c>
    </row>
    <row r="206" ht="13.5">
      <c r="A206" t="s">
        <v>161</v>
      </c>
    </row>
    <row r="207" ht="13.5">
      <c r="A207" t="s">
        <v>162</v>
      </c>
    </row>
    <row r="209" ht="17.25">
      <c r="A209" s="5" t="s">
        <v>163</v>
      </c>
    </row>
    <row r="211" spans="1:6" ht="54.75">
      <c r="A211" s="87" t="s">
        <v>164</v>
      </c>
      <c r="B211" s="88" t="s">
        <v>165</v>
      </c>
      <c r="C211" s="87" t="s">
        <v>166</v>
      </c>
      <c r="D211" s="89" t="s">
        <v>167</v>
      </c>
      <c r="E211" s="87" t="s">
        <v>168</v>
      </c>
      <c r="F211" s="88" t="s">
        <v>169</v>
      </c>
    </row>
    <row r="212" spans="1:6" ht="13.5">
      <c r="A212" s="90"/>
      <c r="B212" s="90"/>
      <c r="C212" s="90"/>
      <c r="D212" s="91"/>
      <c r="E212" s="90"/>
      <c r="F212" s="90"/>
    </row>
    <row r="213" spans="1:6" ht="13.5">
      <c r="A213" s="92" t="s">
        <v>170</v>
      </c>
      <c r="B213" s="93">
        <v>284939</v>
      </c>
      <c r="C213" s="92">
        <f>10079.15-990.6-229.2+3344.29</f>
        <v>12203.64</v>
      </c>
      <c r="D213" s="94">
        <f>B213/C213/12</f>
        <v>1.9457241172852253</v>
      </c>
      <c r="E213" s="93">
        <f>(2.12*2+3.11*10)/12</f>
        <v>2.945</v>
      </c>
      <c r="F213" s="93">
        <f>E213-D213</f>
        <v>0.9992758827147745</v>
      </c>
    </row>
    <row r="214" spans="1:6" ht="13.5">
      <c r="A214" s="92" t="s">
        <v>99</v>
      </c>
      <c r="B214" s="93">
        <f>(92022.56+2000)*1.01</f>
        <v>94962.7856</v>
      </c>
      <c r="C214" s="92">
        <v>13611.45</v>
      </c>
      <c r="D214" s="94">
        <f aca="true" t="shared" si="2" ref="D214:D221">B214/C214/12</f>
        <v>0.5813903343631036</v>
      </c>
      <c r="E214" s="93">
        <f>(0.79*2+0.88*10)/12</f>
        <v>0.8650000000000001</v>
      </c>
      <c r="F214" s="93">
        <f aca="true" t="shared" si="3" ref="F214:F221">E214-D214</f>
        <v>0.2836096656368965</v>
      </c>
    </row>
    <row r="215" spans="1:6" ht="13.5">
      <c r="A215" s="92" t="s">
        <v>171</v>
      </c>
      <c r="B215" s="93">
        <f>156108.74*1.01</f>
        <v>157669.82739999998</v>
      </c>
      <c r="C215" s="92">
        <f>9088.55</f>
        <v>9088.55</v>
      </c>
      <c r="D215" s="94">
        <f t="shared" si="2"/>
        <v>1.4456819056211752</v>
      </c>
      <c r="E215" s="93">
        <f>(2.46*2+1.9*10)/12</f>
        <v>1.9933333333333334</v>
      </c>
      <c r="F215" s="93">
        <f t="shared" si="3"/>
        <v>0.5476514277121582</v>
      </c>
    </row>
    <row r="216" spans="1:6" ht="13.5">
      <c r="A216" s="92" t="s">
        <v>38</v>
      </c>
      <c r="B216" s="93">
        <v>1309771</v>
      </c>
      <c r="C216" s="92">
        <v>10079.15</v>
      </c>
      <c r="D216" s="94">
        <f t="shared" si="2"/>
        <v>10.829046430833287</v>
      </c>
      <c r="E216" s="93">
        <f>(12.76*2+12.16*10)/12</f>
        <v>12.26</v>
      </c>
      <c r="F216" s="93">
        <f t="shared" si="3"/>
        <v>1.4309535691667126</v>
      </c>
    </row>
    <row r="217" spans="1:6" ht="13.5">
      <c r="A217" s="92" t="s">
        <v>172</v>
      </c>
      <c r="B217" s="95">
        <f>188500*1.01</f>
        <v>190385</v>
      </c>
      <c r="C217" s="92">
        <v>10079.15</v>
      </c>
      <c r="D217" s="94">
        <f t="shared" si="2"/>
        <v>1.5740828012944215</v>
      </c>
      <c r="E217" s="93">
        <f>(1.84*2+5.16*10)/12</f>
        <v>4.6066666666666665</v>
      </c>
      <c r="F217" s="93">
        <f t="shared" si="3"/>
        <v>3.032583865372245</v>
      </c>
    </row>
    <row r="218" spans="1:6" ht="13.5">
      <c r="A218" s="92" t="s">
        <v>173</v>
      </c>
      <c r="B218" s="95">
        <v>276</v>
      </c>
      <c r="C218" s="92">
        <v>10079.15</v>
      </c>
      <c r="D218" s="94">
        <f t="shared" si="2"/>
        <v>0.002281938457111959</v>
      </c>
      <c r="E218" s="93">
        <v>0</v>
      </c>
      <c r="F218" s="93">
        <f t="shared" si="3"/>
        <v>-0.002281938457111959</v>
      </c>
    </row>
    <row r="219" spans="1:6" ht="13.5">
      <c r="A219" s="92" t="s">
        <v>174</v>
      </c>
      <c r="B219" s="95">
        <v>57654</v>
      </c>
      <c r="C219" s="92">
        <v>5056.317</v>
      </c>
      <c r="D219" s="94">
        <f t="shared" si="2"/>
        <v>0.9501975449719628</v>
      </c>
      <c r="E219" s="93">
        <v>0.58</v>
      </c>
      <c r="F219" s="93">
        <f t="shared" si="3"/>
        <v>-0.3701975449719629</v>
      </c>
    </row>
    <row r="220" spans="1:6" ht="13.5">
      <c r="A220" s="92" t="s">
        <v>42</v>
      </c>
      <c r="B220" s="93"/>
      <c r="C220" s="92">
        <v>10079.15</v>
      </c>
      <c r="D220" s="94">
        <f t="shared" si="2"/>
        <v>0</v>
      </c>
      <c r="E220" s="93">
        <f>(0.18*2)/12</f>
        <v>0.03</v>
      </c>
      <c r="F220" s="93">
        <f t="shared" si="3"/>
        <v>0.03</v>
      </c>
    </row>
    <row r="221" spans="1:6" ht="27.75">
      <c r="A221" s="96" t="s">
        <v>41</v>
      </c>
      <c r="B221" s="97">
        <f>48600*1.01</f>
        <v>49086</v>
      </c>
      <c r="C221" s="98">
        <v>10079.15</v>
      </c>
      <c r="D221" s="94">
        <f t="shared" si="2"/>
        <v>0.4058377938615856</v>
      </c>
      <c r="E221" s="99">
        <f>(1.2*2+0.6*10)/12</f>
        <v>0.7000000000000001</v>
      </c>
      <c r="F221" s="93">
        <f t="shared" si="3"/>
        <v>0.2941622061384145</v>
      </c>
    </row>
    <row r="222" spans="4:6" ht="13.5">
      <c r="D222" s="100">
        <f>SUM(D212:D221)</f>
        <v>17.73424286668787</v>
      </c>
      <c r="E222" s="97">
        <f>SUM(E212:E221)</f>
        <v>23.979999999999997</v>
      </c>
      <c r="F222" s="97">
        <f>E222-D222</f>
        <v>6.245757133312125</v>
      </c>
    </row>
    <row r="223" spans="1:4" ht="13.5">
      <c r="A223" s="101">
        <v>75</v>
      </c>
      <c r="B223" s="102" t="s">
        <v>175</v>
      </c>
      <c r="D223" t="s">
        <v>176</v>
      </c>
    </row>
    <row r="224" spans="1:6" ht="13.5">
      <c r="A224" s="101">
        <v>63</v>
      </c>
      <c r="B224" s="102" t="s">
        <v>177</v>
      </c>
      <c r="F224" s="103"/>
    </row>
    <row r="225" spans="1:6" ht="13.5">
      <c r="A225" s="101">
        <f>A223-F219*12</f>
        <v>79.44237053966356</v>
      </c>
      <c r="B225" s="102" t="s">
        <v>178</v>
      </c>
      <c r="F225" s="103"/>
    </row>
    <row r="226" spans="1:6" ht="13.5">
      <c r="A226" s="101">
        <f>A225-F213*12</f>
        <v>67.45105994708626</v>
      </c>
      <c r="B226" s="102" t="s">
        <v>179</v>
      </c>
      <c r="F226" s="103"/>
    </row>
    <row r="228" ht="13.5">
      <c r="A228" t="s">
        <v>180</v>
      </c>
    </row>
    <row r="229" ht="13.5">
      <c r="A229" t="s">
        <v>181</v>
      </c>
    </row>
    <row r="231" ht="13.5">
      <c r="A231" t="s">
        <v>182</v>
      </c>
    </row>
    <row r="236" ht="13.5">
      <c r="A236" t="s">
        <v>183</v>
      </c>
    </row>
    <row r="237" spans="1:4" ht="13.5">
      <c r="A237" t="s">
        <v>184</v>
      </c>
      <c r="D237" t="s">
        <v>185</v>
      </c>
    </row>
  </sheetData>
  <mergeCells count="11">
    <mergeCell ref="A1:D1"/>
    <mergeCell ref="A4:D4"/>
    <mergeCell ref="A6:D6"/>
    <mergeCell ref="A10:B10"/>
    <mergeCell ref="A37:A39"/>
    <mergeCell ref="B37:B38"/>
    <mergeCell ref="C37:C38"/>
    <mergeCell ref="D37:D38"/>
    <mergeCell ref="A75:C75"/>
    <mergeCell ref="D78:D79"/>
    <mergeCell ref="E78:E79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2011-12-01T08:35:37Z</cp:lastPrinted>
  <dcterms:created xsi:type="dcterms:W3CDTF">2006-09-28T05:33:49Z</dcterms:created>
  <dcterms:modified xsi:type="dcterms:W3CDTF">2011-10-27T06:26:38Z</dcterms:modified>
  <cp:category/>
  <cp:version/>
  <cp:contentType/>
  <cp:contentStatus/>
  <cp:revision>1</cp:revision>
</cp:coreProperties>
</file>